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agustafson\Desktop\"/>
    </mc:Choice>
  </mc:AlternateContent>
  <xr:revisionPtr revIDLastSave="0" documentId="13_ncr:1_{186E3390-14B0-490C-9796-A96B07CC3E9F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Power of Turn" sheetId="16" r:id="rId1"/>
    <sheet name="NV Washout Gross Per Unit" sheetId="1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3" i="18" l="1"/>
  <c r="E32" i="18"/>
  <c r="E31" i="18"/>
  <c r="E30" i="18"/>
  <c r="E29" i="18"/>
  <c r="E28" i="18"/>
  <c r="E27" i="18"/>
  <c r="E26" i="18"/>
  <c r="C25" i="18"/>
  <c r="E25" i="18" s="1"/>
  <c r="C24" i="18"/>
  <c r="C23" i="18"/>
  <c r="C22" i="18"/>
  <c r="E22" i="18" s="1"/>
  <c r="E20" i="18"/>
  <c r="E9" i="18"/>
  <c r="E6" i="18"/>
  <c r="E4" i="18"/>
  <c r="E3" i="18"/>
  <c r="F33" i="18" l="1"/>
  <c r="F32" i="18"/>
  <c r="E5" i="18"/>
  <c r="E7" i="18" s="1"/>
  <c r="E8" i="18" s="1"/>
  <c r="F29" i="18"/>
  <c r="F20" i="18"/>
  <c r="F22" i="18"/>
  <c r="F31" i="18"/>
  <c r="E23" i="18"/>
  <c r="F23" i="18" s="1"/>
  <c r="F25" i="18" s="1"/>
  <c r="E22" i="16"/>
  <c r="E25" i="16"/>
  <c r="E11" i="18" l="1"/>
  <c r="E13" i="18" s="1"/>
  <c r="H10" i="16"/>
  <c r="E5" i="16"/>
  <c r="E24" i="18" l="1"/>
  <c r="F24" i="18" s="1"/>
  <c r="E11" i="16"/>
  <c r="E13" i="16" s="1"/>
  <c r="H18" i="16"/>
  <c r="E23" i="16" s="1"/>
  <c r="H11" i="16"/>
  <c r="E7" i="16"/>
  <c r="E8" i="16" s="1"/>
  <c r="F26" i="18" l="1"/>
  <c r="F30" i="18"/>
  <c r="F28" i="18"/>
  <c r="F27" i="18"/>
  <c r="E24" i="16"/>
  <c r="H23" i="16" s="1"/>
  <c r="J23" i="16" s="1"/>
  <c r="H12" i="16"/>
  <c r="H32" i="16" s="1"/>
  <c r="J18" i="16"/>
  <c r="H31" i="16"/>
  <c r="J31" i="16" s="1"/>
  <c r="H27" i="16"/>
  <c r="J27" i="16" s="1"/>
  <c r="H30" i="16"/>
  <c r="J30" i="16" s="1"/>
  <c r="H22" i="16"/>
  <c r="J22" i="16" s="1"/>
  <c r="H29" i="16"/>
  <c r="J29" i="16" s="1"/>
  <c r="H20" i="16"/>
  <c r="H13" i="16"/>
  <c r="H26" i="16" l="1"/>
  <c r="J26" i="16" s="1"/>
  <c r="H28" i="16"/>
  <c r="J28" i="16" s="1"/>
  <c r="H25" i="16"/>
  <c r="J25" i="16" s="1"/>
  <c r="F34" i="18"/>
  <c r="E34" i="18" s="1"/>
  <c r="H24" i="16"/>
  <c r="J24" i="16" s="1"/>
  <c r="J20" i="16"/>
  <c r="H14" i="16"/>
  <c r="J32" i="16" s="1"/>
  <c r="H33" i="16" l="1"/>
  <c r="H34" i="16" s="1"/>
  <c r="H35" i="16" s="1"/>
  <c r="J33" i="16"/>
  <c r="J34" i="16" s="1"/>
  <c r="J35" i="16" s="1"/>
</calcChain>
</file>

<file path=xl/sharedStrings.xml><?xml version="1.0" encoding="utf-8"?>
<sst xmlns="http://schemas.openxmlformats.org/spreadsheetml/2006/main" count="83" uniqueCount="55">
  <si>
    <t>Months Supply "In Units"</t>
  </si>
  <si>
    <t xml:space="preserve"> PROJECTED Monthly Gross Profit</t>
  </si>
  <si>
    <t>Yearly</t>
  </si>
  <si>
    <t>PROJECTED</t>
  </si>
  <si>
    <t xml:space="preserve"> PROJECTED Yearly Front End Gross Profit Total</t>
  </si>
  <si>
    <t>Total Additional Income</t>
  </si>
  <si>
    <t>Month of Year</t>
  </si>
  <si>
    <t>Total Variance</t>
  </si>
  <si>
    <t xml:space="preserve"> PROJECTED Monthly Units Delivered</t>
  </si>
  <si>
    <t xml:space="preserve"> Average # Retail Units Delivered Per Month</t>
  </si>
  <si>
    <t xml:space="preserve">CURRENT Inventory Turn Rate </t>
  </si>
  <si>
    <t xml:space="preserve">CURRENT Monthly Gross Profit </t>
  </si>
  <si>
    <t xml:space="preserve"> CURRENT Yearly Front End Gross Profit Total </t>
  </si>
  <si>
    <t xml:space="preserve"> PROJECTED Inventory Turn Rate</t>
  </si>
  <si>
    <t xml:space="preserve"> Total # Units Currently in Inventory</t>
  </si>
  <si>
    <t>Monthly</t>
  </si>
  <si>
    <r>
      <t xml:space="preserve"> PROJECTED Monthly Gross Profit</t>
    </r>
    <r>
      <rPr>
        <b/>
        <sz val="12"/>
        <color indexed="16"/>
        <rFont val="Calibri"/>
        <family val="2"/>
        <scheme val="minor"/>
      </rPr>
      <t xml:space="preserve"> Variance</t>
    </r>
  </si>
  <si>
    <r>
      <t xml:space="preserve"> PROJECTED Annualized Front End Gross Profit </t>
    </r>
    <r>
      <rPr>
        <b/>
        <sz val="12"/>
        <color indexed="16"/>
        <rFont val="Calibri"/>
        <family val="2"/>
        <scheme val="minor"/>
      </rPr>
      <t>Variance</t>
    </r>
  </si>
  <si>
    <r>
      <t xml:space="preserve"> PROJECTED Average </t>
    </r>
    <r>
      <rPr>
        <b/>
        <i/>
        <u/>
        <sz val="12"/>
        <rFont val="Calibri"/>
        <family val="2"/>
        <scheme val="minor"/>
      </rPr>
      <t>Front End</t>
    </r>
    <r>
      <rPr>
        <b/>
        <sz val="12"/>
        <rFont val="Calibri"/>
        <family val="2"/>
        <scheme val="minor"/>
      </rPr>
      <t xml:space="preserve"> Gross Profit PVR</t>
    </r>
  </si>
  <si>
    <t>Front End Variance (from above)</t>
  </si>
  <si>
    <r>
      <t>New Retail Deliveries YTD (units)</t>
    </r>
    <r>
      <rPr>
        <b/>
        <sz val="12"/>
        <color rgb="FFFF0000"/>
        <rFont val="Calibri"/>
        <family val="2"/>
        <scheme val="minor"/>
      </rPr>
      <t xml:space="preserve"> </t>
    </r>
  </si>
  <si>
    <r>
      <t xml:space="preserve">CURRENT Average </t>
    </r>
    <r>
      <rPr>
        <b/>
        <i/>
        <u/>
        <sz val="12"/>
        <rFont val="Calibri"/>
        <family val="2"/>
        <scheme val="minor"/>
      </rPr>
      <t>Front End</t>
    </r>
    <r>
      <rPr>
        <b/>
        <sz val="12"/>
        <rFont val="Calibri"/>
        <family val="2"/>
        <scheme val="minor"/>
      </rPr>
      <t xml:space="preserve"> Gross Profit PNVR</t>
    </r>
  </si>
  <si>
    <t>Current New Vehicle F&amp;I Average PVR</t>
  </si>
  <si>
    <t>PDI &amp; Accessory Sales PVR</t>
  </si>
  <si>
    <t xml:space="preserve"> Trade %</t>
  </si>
  <si>
    <t>Average Recon on U/C Trade</t>
  </si>
  <si>
    <t># of Trades</t>
  </si>
  <si>
    <t>Average PUVR (Front and Back) on Trades</t>
  </si>
  <si>
    <t>Note: This does not include future Gross Opportunities</t>
  </si>
  <si>
    <t>UV Immediate Wholesale %</t>
  </si>
  <si>
    <t># of Trades Immediate Wholesaled</t>
  </si>
  <si>
    <t>Average PUVR Wholesale</t>
  </si>
  <si>
    <t>NV F&amp;I Increase</t>
  </si>
  <si>
    <t>PDI &amp; Accesory Increase</t>
  </si>
  <si>
    <t>UV Wholesale Increase</t>
  </si>
  <si>
    <t>UV Recon Increase</t>
  </si>
  <si>
    <t>UV Retail PUVR Increase</t>
  </si>
  <si>
    <t>Doc Fee/Admin Fee/ Service Charge Increase</t>
  </si>
  <si>
    <t>Total Projected Gross (Variance + Current)</t>
  </si>
  <si>
    <t>OEM Incentives Increase</t>
  </si>
  <si>
    <t>Floorplan Assistance Increase</t>
  </si>
  <si>
    <t>Advertising Credit Increase</t>
  </si>
  <si>
    <t>OEM Incentives Per Unit</t>
  </si>
  <si>
    <t>Floorplan Assistance Per Unit</t>
  </si>
  <si>
    <t>Advertising Credits Per Unit</t>
  </si>
  <si>
    <t>Doc Fee/ Admin Fee Per Unit</t>
  </si>
  <si>
    <t xml:space="preserve"> Hard Pack Increase UV</t>
  </si>
  <si>
    <t>Hard Pack Increase NV</t>
  </si>
  <si>
    <t>Hard Pack Per Unit NV</t>
  </si>
  <si>
    <t>Hard Pack Per Unit UV</t>
  </si>
  <si>
    <t>Additonal NV Units</t>
  </si>
  <si>
    <t>Total Washout PNVR</t>
  </si>
  <si>
    <t>X 50% Gross</t>
  </si>
  <si>
    <t>Per Unit</t>
  </si>
  <si>
    <t>Totals (YTD)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</si>
</sst>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0.0"/>
    <numFmt numFmtId="165" formatCode="_(&quot;$&quot;* #,##0_);_(&quot;$&quot;* \(#,##0\);_(&quot;$&quot;* &quot;-&quot;??_);_(@_)"/>
    <numFmt numFmtId="166" formatCode="_(* #,##0.0_);_(* \(#,##0.0\);_(* &quot;-&quot;??_);_(@_)"/>
    <numFmt numFmtId="167" formatCode="_(&quot;$&quot;* #,##0.0_);_(&quot;$&quot;* \(#,##0.0\);_(&quot;$&quot;* &quot;-&quot;_);_(@_)"/>
    <numFmt numFmtId="168" formatCode="_(* #,##0.0_);_(* \(#,##0.0\);_(* &quot;-&quot;_);_(@_)"/>
  </numFmts>
  <fonts count="24" x14ac:knownFonts="1">
    <font>
      <sz val="10"/>
      <name val="Arial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b/>
      <sz val="14"/>
      <name val="Arial"/>
      <family val="2"/>
    </font>
    <font>
      <sz val="10"/>
      <color indexed="22"/>
      <name val="Arial"/>
      <family val="2"/>
    </font>
    <font>
      <b/>
      <u/>
      <sz val="10"/>
      <color indexed="22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indexed="16"/>
      <name val="Calibri"/>
      <family val="2"/>
      <scheme val="minor"/>
    </font>
    <font>
      <b/>
      <u/>
      <sz val="14"/>
      <name val="Arial"/>
      <family val="2"/>
    </font>
    <font>
      <b/>
      <sz val="14"/>
      <color theme="5" tint="-0.499984740745262"/>
      <name val="Arial Black"/>
      <family val="2"/>
    </font>
    <font>
      <b/>
      <u/>
      <sz val="12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b/>
      <u/>
      <sz val="12"/>
      <color indexed="22"/>
      <name val="Arial"/>
      <family val="2"/>
    </font>
    <font>
      <sz val="12"/>
      <color indexed="18"/>
      <name val="Arial"/>
      <family val="2"/>
    </font>
    <font>
      <sz val="12"/>
      <color indexed="22"/>
      <name val="Arial"/>
      <family val="2"/>
    </font>
    <font>
      <sz val="10"/>
      <name val="Arial"/>
    </font>
    <font>
      <b/>
      <sz val="12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theme="4"/>
      </left>
      <right style="thick">
        <color theme="4"/>
      </right>
      <top style="thick">
        <color theme="1"/>
      </top>
      <bottom style="thick">
        <color theme="4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rgb="FF7030A0"/>
      </left>
      <right style="thick">
        <color rgb="FF7030A0"/>
      </right>
      <top style="thick">
        <color theme="1"/>
      </top>
      <bottom style="thick">
        <color rgb="FF7030A0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Fill="1"/>
    <xf numFmtId="0" fontId="5" fillId="2" borderId="0" xfId="0" applyFont="1" applyFill="1"/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horizontal="center"/>
    </xf>
    <xf numFmtId="3" fontId="4" fillId="2" borderId="0" xfId="0" applyNumberFormat="1" applyFont="1" applyFill="1" applyBorder="1" applyAlignment="1">
      <alignment vertical="center"/>
    </xf>
    <xf numFmtId="0" fontId="0" fillId="2" borderId="0" xfId="0" applyFill="1" applyBorder="1"/>
    <xf numFmtId="164" fontId="4" fillId="2" borderId="0" xfId="0" applyNumberFormat="1" applyFont="1" applyFill="1" applyBorder="1" applyAlignment="1">
      <alignment vertical="center"/>
    </xf>
    <xf numFmtId="1" fontId="4" fillId="2" borderId="0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/>
    </xf>
    <xf numFmtId="42" fontId="4" fillId="2" borderId="0" xfId="0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 applyProtection="1">
      <alignment vertical="center"/>
      <protection locked="0"/>
    </xf>
    <xf numFmtId="42" fontId="4" fillId="2" borderId="0" xfId="0" applyNumberFormat="1" applyFont="1" applyFill="1" applyBorder="1" applyAlignment="1" applyProtection="1">
      <alignment vertical="center"/>
      <protection locked="0"/>
    </xf>
    <xf numFmtId="0" fontId="0" fillId="3" borderId="0" xfId="0" applyFill="1"/>
    <xf numFmtId="0" fontId="5" fillId="3" borderId="0" xfId="0" applyFont="1" applyFill="1"/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0" xfId="0" applyFill="1" applyBorder="1"/>
    <xf numFmtId="0" fontId="0" fillId="10" borderId="0" xfId="0" applyFill="1"/>
    <xf numFmtId="0" fontId="6" fillId="10" borderId="0" xfId="0" applyFont="1" applyFill="1" applyAlignment="1">
      <alignment horizontal="center"/>
    </xf>
    <xf numFmtId="0" fontId="2" fillId="10" borderId="0" xfId="0" applyFont="1" applyFill="1" applyAlignment="1">
      <alignment horizontal="right" vertical="center"/>
    </xf>
    <xf numFmtId="0" fontId="8" fillId="2" borderId="0" xfId="0" applyFont="1" applyFill="1"/>
    <xf numFmtId="0" fontId="9" fillId="10" borderId="0" xfId="0" applyFont="1" applyFill="1" applyBorder="1" applyAlignment="1" applyProtection="1">
      <alignment horizontal="right" vertical="center"/>
      <protection hidden="1"/>
    </xf>
    <xf numFmtId="0" fontId="9" fillId="8" borderId="0" xfId="0" applyFont="1" applyFill="1" applyBorder="1" applyAlignment="1" applyProtection="1">
      <alignment horizontal="right" vertical="center"/>
      <protection hidden="1"/>
    </xf>
    <xf numFmtId="0" fontId="9" fillId="7" borderId="0" xfId="0" applyFont="1" applyFill="1" applyAlignment="1" applyProtection="1">
      <alignment horizontal="right" vertical="center"/>
      <protection hidden="1"/>
    </xf>
    <xf numFmtId="0" fontId="9" fillId="8" borderId="2" xfId="0" applyFont="1" applyFill="1" applyBorder="1" applyAlignment="1">
      <alignment horizontal="left" vertical="center"/>
    </xf>
    <xf numFmtId="0" fontId="9" fillId="7" borderId="4" xfId="0" applyFont="1" applyFill="1" applyBorder="1" applyAlignment="1">
      <alignment horizontal="left" vertical="center"/>
    </xf>
    <xf numFmtId="0" fontId="9" fillId="10" borderId="2" xfId="0" applyFont="1" applyFill="1" applyBorder="1" applyAlignment="1">
      <alignment horizontal="left" vertical="center"/>
    </xf>
    <xf numFmtId="0" fontId="9" fillId="9" borderId="2" xfId="0" applyFont="1" applyFill="1" applyBorder="1" applyAlignment="1">
      <alignment horizontal="left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top" wrapText="1"/>
    </xf>
    <xf numFmtId="0" fontId="13" fillId="10" borderId="0" xfId="0" applyFont="1" applyFill="1" applyBorder="1" applyAlignment="1">
      <alignment horizontal="center" vertical="center"/>
    </xf>
    <xf numFmtId="0" fontId="14" fillId="10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 wrapText="1"/>
    </xf>
    <xf numFmtId="0" fontId="16" fillId="10" borderId="0" xfId="0" applyFont="1" applyFill="1" applyBorder="1"/>
    <xf numFmtId="0" fontId="17" fillId="10" borderId="0" xfId="0" applyFont="1" applyFill="1" applyBorder="1" applyAlignment="1">
      <alignment horizontal="right" vertical="center"/>
    </xf>
    <xf numFmtId="0" fontId="16" fillId="10" borderId="0" xfId="0" applyFont="1" applyFill="1"/>
    <xf numFmtId="0" fontId="15" fillId="10" borderId="0" xfId="0" applyFont="1" applyFill="1" applyBorder="1" applyAlignment="1" applyProtection="1">
      <alignment horizontal="right"/>
      <protection hidden="1"/>
    </xf>
    <xf numFmtId="0" fontId="9" fillId="10" borderId="0" xfId="0" applyFont="1" applyFill="1" applyBorder="1" applyAlignment="1">
      <alignment horizontal="center" vertical="center"/>
    </xf>
    <xf numFmtId="0" fontId="9" fillId="10" borderId="0" xfId="0" applyFont="1" applyFill="1" applyBorder="1" applyAlignment="1" applyProtection="1">
      <alignment horizontal="left" vertical="center"/>
      <protection hidden="1"/>
    </xf>
    <xf numFmtId="0" fontId="18" fillId="10" borderId="2" xfId="0" applyFont="1" applyFill="1" applyBorder="1" applyAlignment="1">
      <alignment horizontal="center" vertical="center"/>
    </xf>
    <xf numFmtId="0" fontId="18" fillId="10" borderId="1" xfId="0" applyFont="1" applyFill="1" applyBorder="1"/>
    <xf numFmtId="0" fontId="9" fillId="0" borderId="6" xfId="0" applyFont="1" applyFill="1" applyBorder="1" applyAlignment="1" applyProtection="1">
      <alignment horizontal="right" vertical="center"/>
      <protection locked="0"/>
    </xf>
    <xf numFmtId="0" fontId="18" fillId="10" borderId="0" xfId="0" applyFont="1" applyFill="1" applyAlignment="1">
      <alignment horizontal="center" vertical="center"/>
    </xf>
    <xf numFmtId="0" fontId="18" fillId="10" borderId="0" xfId="0" applyFont="1" applyFill="1" applyProtection="1">
      <protection hidden="1"/>
    </xf>
    <xf numFmtId="0" fontId="9" fillId="10" borderId="0" xfId="0" applyFont="1" applyFill="1" applyBorder="1" applyAlignment="1" applyProtection="1">
      <alignment horizontal="right"/>
      <protection hidden="1"/>
    </xf>
    <xf numFmtId="0" fontId="9" fillId="0" borderId="3" xfId="0" applyFont="1" applyFill="1" applyBorder="1" applyAlignment="1" applyProtection="1">
      <alignment horizontal="right" vertical="center"/>
      <protection locked="0"/>
    </xf>
    <xf numFmtId="42" fontId="9" fillId="0" borderId="6" xfId="0" applyNumberFormat="1" applyFont="1" applyFill="1" applyBorder="1" applyAlignment="1" applyProtection="1">
      <alignment horizontal="right" vertical="center"/>
      <protection locked="0"/>
    </xf>
    <xf numFmtId="0" fontId="16" fillId="10" borderId="0" xfId="0" applyFont="1" applyFill="1" applyAlignment="1">
      <alignment vertical="center"/>
    </xf>
    <xf numFmtId="0" fontId="7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7" fillId="2" borderId="0" xfId="0" applyFont="1" applyFill="1" applyBorder="1" applyAlignment="1">
      <alignment horizontal="right" vertical="center"/>
    </xf>
    <xf numFmtId="0" fontId="15" fillId="10" borderId="0" xfId="0" applyFont="1" applyFill="1" applyAlignment="1" applyProtection="1">
      <alignment horizontal="center"/>
      <protection hidden="1"/>
    </xf>
    <xf numFmtId="0" fontId="15" fillId="10" borderId="0" xfId="0" applyFont="1" applyFill="1" applyAlignment="1" applyProtection="1">
      <alignment horizontal="right"/>
      <protection hidden="1"/>
    </xf>
    <xf numFmtId="3" fontId="9" fillId="0" borderId="6" xfId="0" applyNumberFormat="1" applyFont="1" applyFill="1" applyBorder="1" applyAlignment="1" applyProtection="1">
      <alignment horizontal="right" vertical="center"/>
      <protection locked="0"/>
    </xf>
    <xf numFmtId="0" fontId="20" fillId="10" borderId="0" xfId="0" applyFont="1" applyFill="1"/>
    <xf numFmtId="0" fontId="16" fillId="2" borderId="0" xfId="0" applyFont="1" applyFill="1"/>
    <xf numFmtId="0" fontId="9" fillId="0" borderId="7" xfId="0" applyFont="1" applyFill="1" applyBorder="1" applyAlignment="1" applyProtection="1">
      <alignment horizontal="right" vertical="center"/>
      <protection locked="0"/>
    </xf>
    <xf numFmtId="0" fontId="17" fillId="2" borderId="0" xfId="0" applyFont="1" applyFill="1" applyAlignment="1">
      <alignment horizontal="right" vertical="center"/>
    </xf>
    <xf numFmtId="0" fontId="19" fillId="10" borderId="0" xfId="0" applyFont="1" applyFill="1" applyAlignment="1">
      <alignment horizontal="center"/>
    </xf>
    <xf numFmtId="0" fontId="17" fillId="10" borderId="0" xfId="0" applyFont="1" applyFill="1" applyAlignment="1">
      <alignment horizontal="right" vertical="center"/>
    </xf>
    <xf numFmtId="0" fontId="15" fillId="8" borderId="0" xfId="0" applyFont="1" applyFill="1" applyAlignment="1" applyProtection="1">
      <alignment horizontal="center"/>
      <protection hidden="1"/>
    </xf>
    <xf numFmtId="0" fontId="15" fillId="8" borderId="0" xfId="0" applyFont="1" applyFill="1" applyAlignment="1" applyProtection="1">
      <alignment horizontal="right"/>
      <protection hidden="1"/>
    </xf>
    <xf numFmtId="0" fontId="7" fillId="3" borderId="0" xfId="0" applyFont="1" applyFill="1" applyAlignment="1">
      <alignment horizontal="center"/>
    </xf>
    <xf numFmtId="0" fontId="18" fillId="7" borderId="0" xfId="0" applyFont="1" applyFill="1" applyProtection="1">
      <protection hidden="1"/>
    </xf>
    <xf numFmtId="0" fontId="18" fillId="7" borderId="0" xfId="0" applyFont="1" applyFill="1" applyAlignment="1" applyProtection="1">
      <alignment horizontal="right"/>
      <protection hidden="1"/>
    </xf>
    <xf numFmtId="42" fontId="9" fillId="0" borderId="15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/>
    <xf numFmtId="0" fontId="9" fillId="7" borderId="5" xfId="0" applyFont="1" applyFill="1" applyBorder="1" applyAlignment="1">
      <alignment horizontal="left" vertical="center"/>
    </xf>
    <xf numFmtId="0" fontId="18" fillId="10" borderId="0" xfId="0" applyFont="1" applyFill="1" applyAlignment="1" applyProtection="1">
      <alignment horizontal="right"/>
      <protection hidden="1"/>
    </xf>
    <xf numFmtId="0" fontId="9" fillId="10" borderId="0" xfId="0" applyFont="1" applyFill="1" applyAlignment="1" applyProtection="1">
      <alignment horizontal="right" vertical="center"/>
      <protection hidden="1"/>
    </xf>
    <xf numFmtId="0" fontId="18" fillId="10" borderId="0" xfId="0" applyFont="1" applyFill="1" applyBorder="1" applyAlignment="1" applyProtection="1">
      <alignment horizontal="right"/>
      <protection hidden="1"/>
    </xf>
    <xf numFmtId="0" fontId="18" fillId="10" borderId="0" xfId="0" applyFont="1" applyFill="1"/>
    <xf numFmtId="0" fontId="16" fillId="0" borderId="0" xfId="0" applyFont="1"/>
    <xf numFmtId="3" fontId="9" fillId="4" borderId="6" xfId="0" applyNumberFormat="1" applyFont="1" applyFill="1" applyBorder="1" applyAlignment="1" applyProtection="1">
      <alignment horizontal="right" vertical="center"/>
    </xf>
    <xf numFmtId="164" fontId="9" fillId="4" borderId="14" xfId="0" applyNumberFormat="1" applyFont="1" applyFill="1" applyBorder="1" applyAlignment="1" applyProtection="1">
      <alignment horizontal="right" vertical="center"/>
    </xf>
    <xf numFmtId="164" fontId="9" fillId="4" borderId="13" xfId="0" applyNumberFormat="1" applyFont="1" applyFill="1" applyBorder="1" applyAlignment="1" applyProtection="1">
      <alignment horizontal="right" vertical="center"/>
    </xf>
    <xf numFmtId="42" fontId="9" fillId="4" borderId="6" xfId="0" applyNumberFormat="1" applyFont="1" applyFill="1" applyBorder="1" applyAlignment="1" applyProtection="1">
      <alignment horizontal="right" vertical="center"/>
    </xf>
    <xf numFmtId="41" fontId="9" fillId="4" borderId="9" xfId="0" applyNumberFormat="1" applyFont="1" applyFill="1" applyBorder="1" applyAlignment="1" applyProtection="1">
      <alignment horizontal="right" vertical="center"/>
    </xf>
    <xf numFmtId="42" fontId="9" fillId="4" borderId="8" xfId="0" applyNumberFormat="1" applyFont="1" applyFill="1" applyBorder="1" applyAlignment="1" applyProtection="1">
      <alignment horizontal="right" vertical="center"/>
    </xf>
    <xf numFmtId="42" fontId="9" fillId="4" borderId="7" xfId="0" applyNumberFormat="1" applyFont="1" applyFill="1" applyBorder="1" applyAlignment="1" applyProtection="1">
      <alignment horizontal="right" vertical="center"/>
    </xf>
    <xf numFmtId="41" fontId="9" fillId="4" borderId="3" xfId="0" applyNumberFormat="1" applyFont="1" applyFill="1" applyBorder="1" applyAlignment="1" applyProtection="1">
      <alignment horizontal="right" vertical="center"/>
    </xf>
    <xf numFmtId="37" fontId="9" fillId="4" borderId="3" xfId="0" applyNumberFormat="1" applyFont="1" applyFill="1" applyBorder="1" applyAlignment="1" applyProtection="1">
      <alignment horizontal="right" vertical="center"/>
    </xf>
    <xf numFmtId="42" fontId="9" fillId="0" borderId="14" xfId="0" applyNumberFormat="1" applyFont="1" applyFill="1" applyBorder="1" applyAlignment="1" applyProtection="1">
      <alignment horizontal="right" vertical="center"/>
      <protection locked="0"/>
    </xf>
    <xf numFmtId="9" fontId="9" fillId="0" borderId="3" xfId="1" applyFont="1" applyFill="1" applyBorder="1" applyAlignment="1" applyProtection="1">
      <alignment horizontal="right" vertical="center"/>
      <protection locked="0"/>
    </xf>
    <xf numFmtId="0" fontId="9" fillId="10" borderId="2" xfId="0" applyFont="1" applyFill="1" applyBorder="1" applyAlignment="1">
      <alignment horizontal="center" vertical="center" wrapText="1"/>
    </xf>
    <xf numFmtId="0" fontId="0" fillId="11" borderId="20" xfId="0" applyFill="1" applyBorder="1"/>
    <xf numFmtId="0" fontId="0" fillId="11" borderId="21" xfId="0" applyFill="1" applyBorder="1"/>
    <xf numFmtId="0" fontId="0" fillId="11" borderId="22" xfId="0" applyFill="1" applyBorder="1"/>
    <xf numFmtId="0" fontId="9" fillId="10" borderId="2" xfId="0" applyFont="1" applyFill="1" applyBorder="1" applyAlignment="1">
      <alignment horizontal="center" vertical="center"/>
    </xf>
    <xf numFmtId="165" fontId="9" fillId="4" borderId="3" xfId="2" applyNumberFormat="1" applyFont="1" applyFill="1" applyBorder="1" applyAlignment="1" applyProtection="1">
      <alignment horizontal="right" vertical="center"/>
    </xf>
    <xf numFmtId="166" fontId="9" fillId="4" borderId="6" xfId="0" applyNumberFormat="1" applyFont="1" applyFill="1" applyBorder="1" applyAlignment="1" applyProtection="1">
      <alignment horizontal="right" vertical="center"/>
    </xf>
    <xf numFmtId="167" fontId="9" fillId="0" borderId="12" xfId="0" applyNumberFormat="1" applyFont="1" applyFill="1" applyBorder="1" applyAlignment="1" applyProtection="1">
      <alignment horizontal="right" vertical="center"/>
      <protection locked="0"/>
    </xf>
    <xf numFmtId="168" fontId="9" fillId="0" borderId="11" xfId="0" applyNumberFormat="1" applyFont="1" applyFill="1" applyBorder="1" applyAlignment="1" applyProtection="1">
      <alignment horizontal="right" vertical="center"/>
      <protection locked="0"/>
    </xf>
    <xf numFmtId="0" fontId="17" fillId="10" borderId="0" xfId="0" applyFont="1" applyFill="1" applyBorder="1" applyAlignment="1">
      <alignment horizontal="center" vertical="center"/>
    </xf>
    <xf numFmtId="42" fontId="9" fillId="9" borderId="14" xfId="0" applyNumberFormat="1" applyFont="1" applyFill="1" applyBorder="1" applyAlignment="1" applyProtection="1">
      <alignment horizontal="right" vertical="center"/>
      <protection locked="0"/>
    </xf>
    <xf numFmtId="9" fontId="9" fillId="0" borderId="6" xfId="1" applyFont="1" applyFill="1" applyBorder="1" applyAlignment="1" applyProtection="1">
      <alignment horizontal="right" vertical="center"/>
      <protection locked="0"/>
    </xf>
    <xf numFmtId="165" fontId="9" fillId="0" borderId="6" xfId="2" applyNumberFormat="1" applyFont="1" applyFill="1" applyBorder="1" applyAlignment="1" applyProtection="1">
      <alignment horizontal="right" vertical="center"/>
      <protection locked="0"/>
    </xf>
    <xf numFmtId="44" fontId="9" fillId="4" borderId="3" xfId="2" applyFont="1" applyFill="1" applyBorder="1" applyAlignment="1" applyProtection="1">
      <alignment horizontal="right" vertical="center"/>
    </xf>
    <xf numFmtId="0" fontId="9" fillId="10" borderId="1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6" xfId="0" applyFont="1" applyFill="1" applyBorder="1" applyAlignment="1">
      <alignment horizontal="center" vertical="center"/>
    </xf>
    <xf numFmtId="0" fontId="23" fillId="12" borderId="20" xfId="0" applyFont="1" applyFill="1" applyBorder="1" applyAlignment="1">
      <alignment horizontal="center" vertical="center"/>
    </xf>
    <xf numFmtId="0" fontId="23" fillId="12" borderId="21" xfId="0" applyFont="1" applyFill="1" applyBorder="1" applyAlignment="1">
      <alignment horizontal="center" vertical="center"/>
    </xf>
    <xf numFmtId="0" fontId="23" fillId="12" borderId="22" xfId="0" applyFont="1" applyFill="1" applyBorder="1" applyAlignment="1">
      <alignment horizontal="center" vertical="center"/>
    </xf>
    <xf numFmtId="0" fontId="9" fillId="10" borderId="17" xfId="0" applyFont="1" applyFill="1" applyBorder="1" applyAlignment="1">
      <alignment horizontal="center" vertical="center"/>
    </xf>
    <xf numFmtId="0" fontId="9" fillId="10" borderId="18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/>
    </xf>
    <xf numFmtId="0" fontId="9" fillId="9" borderId="17" xfId="0" applyFont="1" applyFill="1" applyBorder="1" applyAlignment="1">
      <alignment horizontal="center" vertical="center"/>
    </xf>
    <xf numFmtId="0" fontId="9" fillId="9" borderId="18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99FF33"/>
      <color rgb="FFFF99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176389</xdr:colOff>
      <xdr:row>4</xdr:row>
      <xdr:rowOff>232833</xdr:rowOff>
    </xdr:from>
    <xdr:to>
      <xdr:col>10</xdr:col>
      <xdr:colOff>10584</xdr:colOff>
      <xdr:row>14</xdr:row>
      <xdr:rowOff>35279</xdr:rowOff>
    </xdr:to>
    <xdr:sp macro="" textlink="">
      <xdr:nvSpPr>
        <xdr:cNvPr id="16586" name="Rectangle 2">
          <a:extLst>
            <a:ext uri="{FF2B5EF4-FFF2-40B4-BE49-F238E27FC236}">
              <a16:creationId xmlns:a16="http://schemas.microsoft.com/office/drawing/2014/main" id="{00000000-0008-0000-0000-0000CA400000}"/>
            </a:ext>
          </a:extLst>
        </xdr:cNvPr>
        <xdr:cNvSpPr>
          <a:spLocks noChangeArrowheads="1"/>
        </xdr:cNvSpPr>
      </xdr:nvSpPr>
      <xdr:spPr bwMode="auto">
        <a:xfrm>
          <a:off x="5348111" y="1157111"/>
          <a:ext cx="5281084" cy="2342446"/>
        </a:xfrm>
        <a:prstGeom prst="rect">
          <a:avLst/>
        </a:prstGeom>
        <a:noFill/>
        <a:ln w="57150">
          <a:solidFill>
            <a:srgbClr val="8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52386</xdr:colOff>
      <xdr:row>4</xdr:row>
      <xdr:rowOff>190675</xdr:rowOff>
    </xdr:from>
    <xdr:to>
      <xdr:col>8</xdr:col>
      <xdr:colOff>534986</xdr:colOff>
      <xdr:row>6</xdr:row>
      <xdr:rowOff>77611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421664" y="1114953"/>
          <a:ext cx="1752600" cy="394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Projections</a:t>
          </a:r>
        </a:p>
      </xdr:txBody>
    </xdr:sp>
    <xdr:clientData/>
  </xdr:twoCellAnchor>
  <xdr:twoCellAnchor>
    <xdr:from>
      <xdr:col>1</xdr:col>
      <xdr:colOff>42333</xdr:colOff>
      <xdr:row>15</xdr:row>
      <xdr:rowOff>66324</xdr:rowOff>
    </xdr:from>
    <xdr:to>
      <xdr:col>3</xdr:col>
      <xdr:colOff>204612</xdr:colOff>
      <xdr:row>16</xdr:row>
      <xdr:rowOff>155224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54000" y="3692880"/>
          <a:ext cx="2469445" cy="3217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Additional Income</a:t>
          </a:r>
        </a:p>
      </xdr:txBody>
    </xdr:sp>
    <xdr:clientData/>
  </xdr:twoCellAnchor>
  <xdr:twoCellAnchor>
    <xdr:from>
      <xdr:col>10</xdr:col>
      <xdr:colOff>42333</xdr:colOff>
      <xdr:row>13</xdr:row>
      <xdr:rowOff>127000</xdr:rowOff>
    </xdr:from>
    <xdr:to>
      <xdr:col>10</xdr:col>
      <xdr:colOff>511173</xdr:colOff>
      <xdr:row>13</xdr:row>
      <xdr:rowOff>133350</xdr:rowOff>
    </xdr:to>
    <xdr:sp macro="" textlink="">
      <xdr:nvSpPr>
        <xdr:cNvPr id="16591" name="Line 9">
          <a:extLst>
            <a:ext uri="{FF2B5EF4-FFF2-40B4-BE49-F238E27FC236}">
              <a16:creationId xmlns:a16="http://schemas.microsoft.com/office/drawing/2014/main" id="{00000000-0008-0000-0000-0000CF400000}"/>
            </a:ext>
          </a:extLst>
        </xdr:cNvPr>
        <xdr:cNvSpPr>
          <a:spLocks noChangeShapeType="1"/>
        </xdr:cNvSpPr>
      </xdr:nvSpPr>
      <xdr:spPr bwMode="auto">
        <a:xfrm flipH="1" flipV="1">
          <a:off x="10660944" y="3337278"/>
          <a:ext cx="468840" cy="635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24</xdr:col>
      <xdr:colOff>504825</xdr:colOff>
      <xdr:row>36</xdr:row>
      <xdr:rowOff>38100</xdr:rowOff>
    </xdr:from>
    <xdr:to>
      <xdr:col>25</xdr:col>
      <xdr:colOff>352425</xdr:colOff>
      <xdr:row>36</xdr:row>
      <xdr:rowOff>38100</xdr:rowOff>
    </xdr:to>
    <xdr:sp macro="" textlink="">
      <xdr:nvSpPr>
        <xdr:cNvPr id="16592" name="Line 10">
          <a:extLst>
            <a:ext uri="{FF2B5EF4-FFF2-40B4-BE49-F238E27FC236}">
              <a16:creationId xmlns:a16="http://schemas.microsoft.com/office/drawing/2014/main" id="{00000000-0008-0000-0000-0000D0400000}"/>
            </a:ext>
          </a:extLst>
        </xdr:cNvPr>
        <xdr:cNvSpPr>
          <a:spLocks noChangeShapeType="1"/>
        </xdr:cNvSpPr>
      </xdr:nvSpPr>
      <xdr:spPr bwMode="auto">
        <a:xfrm flipH="1">
          <a:off x="22164675" y="68008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70556</xdr:colOff>
      <xdr:row>31</xdr:row>
      <xdr:rowOff>155222</xdr:rowOff>
    </xdr:from>
    <xdr:to>
      <xdr:col>10</xdr:col>
      <xdr:colOff>500060</xdr:colOff>
      <xdr:row>31</xdr:row>
      <xdr:rowOff>164040</xdr:rowOff>
    </xdr:to>
    <xdr:sp macro="" textlink="">
      <xdr:nvSpPr>
        <xdr:cNvPr id="16593" name="Line 11">
          <a:extLst>
            <a:ext uri="{FF2B5EF4-FFF2-40B4-BE49-F238E27FC236}">
              <a16:creationId xmlns:a16="http://schemas.microsoft.com/office/drawing/2014/main" id="{00000000-0008-0000-0000-0000D1400000}"/>
            </a:ext>
          </a:extLst>
        </xdr:cNvPr>
        <xdr:cNvSpPr>
          <a:spLocks noChangeShapeType="1"/>
        </xdr:cNvSpPr>
      </xdr:nvSpPr>
      <xdr:spPr bwMode="auto">
        <a:xfrm flipH="1" flipV="1">
          <a:off x="11278306" y="8071555"/>
          <a:ext cx="429504" cy="8818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500062</xdr:colOff>
      <xdr:row>11</xdr:row>
      <xdr:rowOff>129645</xdr:rowOff>
    </xdr:from>
    <xdr:to>
      <xdr:col>10</xdr:col>
      <xdr:colOff>508000</xdr:colOff>
      <xdr:row>31</xdr:row>
      <xdr:rowOff>201083</xdr:rowOff>
    </xdr:to>
    <xdr:sp macro="" textlink="">
      <xdr:nvSpPr>
        <xdr:cNvPr id="16594" name="Line 12">
          <a:extLst>
            <a:ext uri="{FF2B5EF4-FFF2-40B4-BE49-F238E27FC236}">
              <a16:creationId xmlns:a16="http://schemas.microsoft.com/office/drawing/2014/main" id="{00000000-0008-0000-0000-0000D2400000}"/>
            </a:ext>
          </a:extLst>
        </xdr:cNvPr>
        <xdr:cNvSpPr>
          <a:spLocks noChangeShapeType="1"/>
        </xdr:cNvSpPr>
      </xdr:nvSpPr>
      <xdr:spPr bwMode="auto">
        <a:xfrm>
          <a:off x="11707812" y="2733145"/>
          <a:ext cx="7938" cy="5384271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42333</xdr:colOff>
      <xdr:row>33</xdr:row>
      <xdr:rowOff>8466</xdr:rowOff>
    </xdr:from>
    <xdr:to>
      <xdr:col>10</xdr:col>
      <xdr:colOff>5291</xdr:colOff>
      <xdr:row>33</xdr:row>
      <xdr:rowOff>296332</xdr:rowOff>
    </xdr:to>
    <xdr:sp macro="" textlink="">
      <xdr:nvSpPr>
        <xdr:cNvPr id="16596" name="Rectangle 2">
          <a:extLst>
            <a:ext uri="{FF2B5EF4-FFF2-40B4-BE49-F238E27FC236}">
              <a16:creationId xmlns:a16="http://schemas.microsoft.com/office/drawing/2014/main" id="{00000000-0008-0000-0000-0000D4400000}"/>
            </a:ext>
          </a:extLst>
        </xdr:cNvPr>
        <xdr:cNvSpPr>
          <a:spLocks noChangeArrowheads="1"/>
        </xdr:cNvSpPr>
      </xdr:nvSpPr>
      <xdr:spPr bwMode="auto">
        <a:xfrm>
          <a:off x="5164666" y="8538633"/>
          <a:ext cx="6048375" cy="287866"/>
        </a:xfrm>
        <a:prstGeom prst="rect">
          <a:avLst/>
        </a:prstGeom>
        <a:noFill/>
        <a:ln w="698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31750</xdr:colOff>
      <xdr:row>15</xdr:row>
      <xdr:rowOff>34636</xdr:rowOff>
    </xdr:from>
    <xdr:to>
      <xdr:col>10</xdr:col>
      <xdr:colOff>70908</xdr:colOff>
      <xdr:row>35</xdr:row>
      <xdr:rowOff>17318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32833" y="3527136"/>
          <a:ext cx="9966325" cy="3887932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190500</xdr:colOff>
      <xdr:row>1</xdr:row>
      <xdr:rowOff>0</xdr:rowOff>
    </xdr:from>
    <xdr:to>
      <xdr:col>6</xdr:col>
      <xdr:colOff>28222</xdr:colOff>
      <xdr:row>14</xdr:row>
      <xdr:rowOff>34637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90500" y="169333"/>
          <a:ext cx="5009444" cy="3329582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0</xdr:col>
      <xdr:colOff>126991</xdr:colOff>
      <xdr:row>36</xdr:row>
      <xdr:rowOff>6</xdr:rowOff>
    </xdr:from>
    <xdr:ext cx="3306739" cy="217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6991" y="7104950"/>
          <a:ext cx="330673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</a:rPr>
            <a:t>NADA Academy Variable</a:t>
          </a:r>
          <a:r>
            <a:rPr lang="en-US" sz="800" baseline="0">
              <a:solidFill>
                <a:schemeClr val="tx1">
                  <a:lumMod val="50000"/>
                  <a:lumOff val="50000"/>
                </a:schemeClr>
              </a:solidFill>
            </a:rPr>
            <a:t> Operations I </a:t>
          </a:r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rPr>
            <a:t>© 2019 NADA.  All rights reserved.  </a:t>
          </a:r>
          <a:endParaRPr lang="en-US" sz="8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twoCellAnchor>
    <xdr:from>
      <xdr:col>10</xdr:col>
      <xdr:colOff>42332</xdr:colOff>
      <xdr:row>11</xdr:row>
      <xdr:rowOff>119942</xdr:rowOff>
    </xdr:from>
    <xdr:to>
      <xdr:col>10</xdr:col>
      <xdr:colOff>514247</xdr:colOff>
      <xdr:row>11</xdr:row>
      <xdr:rowOff>121702</xdr:rowOff>
    </xdr:to>
    <xdr:sp macro="" textlink="">
      <xdr:nvSpPr>
        <xdr:cNvPr id="17" name="Line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 flipH="1" flipV="1">
          <a:off x="10660943" y="2822220"/>
          <a:ext cx="471915" cy="176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28752</xdr:colOff>
      <xdr:row>0</xdr:row>
      <xdr:rowOff>99217</xdr:rowOff>
    </xdr:from>
    <xdr:to>
      <xdr:col>2</xdr:col>
      <xdr:colOff>49390</xdr:colOff>
      <xdr:row>3</xdr:row>
      <xdr:rowOff>211666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40419" y="99217"/>
          <a:ext cx="1071915" cy="782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Current Data</a:t>
          </a:r>
        </a:p>
      </xdr:txBody>
    </xdr:sp>
    <xdr:clientData/>
  </xdr:twoCellAnchor>
  <xdr:twoCellAnchor editAs="oneCell">
    <xdr:from>
      <xdr:col>6</xdr:col>
      <xdr:colOff>12601</xdr:colOff>
      <xdr:row>0</xdr:row>
      <xdr:rowOff>19655</xdr:rowOff>
    </xdr:from>
    <xdr:to>
      <xdr:col>8</xdr:col>
      <xdr:colOff>713116</xdr:colOff>
      <xdr:row>4</xdr:row>
      <xdr:rowOff>18674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3D7033-9963-40B0-87EB-39DD68D77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84323" y="19655"/>
          <a:ext cx="2168071" cy="9232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42333</xdr:colOff>
      <xdr:row>15</xdr:row>
      <xdr:rowOff>66324</xdr:rowOff>
    </xdr:from>
    <xdr:to>
      <xdr:col>3</xdr:col>
      <xdr:colOff>204612</xdr:colOff>
      <xdr:row>16</xdr:row>
      <xdr:rowOff>155224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D351EE2A-E8B8-48AD-A860-87C9CA77FF6A}"/>
            </a:ext>
          </a:extLst>
        </xdr:cNvPr>
        <xdr:cNvSpPr txBox="1">
          <a:spLocks noChangeArrowheads="1"/>
        </xdr:cNvSpPr>
      </xdr:nvSpPr>
      <xdr:spPr bwMode="auto">
        <a:xfrm>
          <a:off x="242358" y="3619149"/>
          <a:ext cx="2362554" cy="31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Additional Income</a:t>
          </a:r>
        </a:p>
      </xdr:txBody>
    </xdr:sp>
    <xdr:clientData/>
  </xdr:twoCellAnchor>
  <xdr:twoCellAnchor>
    <xdr:from>
      <xdr:col>21</xdr:col>
      <xdr:colOff>504825</xdr:colOff>
      <xdr:row>36</xdr:row>
      <xdr:rowOff>38100</xdr:rowOff>
    </xdr:from>
    <xdr:to>
      <xdr:col>22</xdr:col>
      <xdr:colOff>352425</xdr:colOff>
      <xdr:row>36</xdr:row>
      <xdr:rowOff>38100</xdr:rowOff>
    </xdr:to>
    <xdr:sp macro="" textlink="">
      <xdr:nvSpPr>
        <xdr:cNvPr id="6" name="Line 10">
          <a:extLst>
            <a:ext uri="{FF2B5EF4-FFF2-40B4-BE49-F238E27FC236}">
              <a16:creationId xmlns:a16="http://schemas.microsoft.com/office/drawing/2014/main" id="{EDDEF9CA-F8CE-4AF6-B0A2-832AC5BED66B}"/>
            </a:ext>
          </a:extLst>
        </xdr:cNvPr>
        <xdr:cNvSpPr>
          <a:spLocks noChangeShapeType="1"/>
        </xdr:cNvSpPr>
      </xdr:nvSpPr>
      <xdr:spPr bwMode="auto">
        <a:xfrm flipH="1">
          <a:off x="22745700" y="9763125"/>
          <a:ext cx="438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158749</xdr:colOff>
      <xdr:row>15</xdr:row>
      <xdr:rowOff>34636</xdr:rowOff>
    </xdr:from>
    <xdr:to>
      <xdr:col>6</xdr:col>
      <xdr:colOff>0</xdr:colOff>
      <xdr:row>35</xdr:row>
      <xdr:rowOff>17318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CD9A97FA-F270-4358-B872-E71B5F97418D}"/>
            </a:ext>
          </a:extLst>
        </xdr:cNvPr>
        <xdr:cNvSpPr/>
      </xdr:nvSpPr>
      <xdr:spPr>
        <a:xfrm>
          <a:off x="158749" y="3527136"/>
          <a:ext cx="6424084" cy="5983432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190500</xdr:colOff>
      <xdr:row>1</xdr:row>
      <xdr:rowOff>0</xdr:rowOff>
    </xdr:from>
    <xdr:to>
      <xdr:col>5</xdr:col>
      <xdr:colOff>0</xdr:colOff>
      <xdr:row>14</xdr:row>
      <xdr:rowOff>34637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9925A236-1C9D-491E-9368-4AA527887549}"/>
            </a:ext>
          </a:extLst>
        </xdr:cNvPr>
        <xdr:cNvSpPr/>
      </xdr:nvSpPr>
      <xdr:spPr>
        <a:xfrm>
          <a:off x="190500" y="171450"/>
          <a:ext cx="4771672" cy="3254087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0</xdr:col>
      <xdr:colOff>126991</xdr:colOff>
      <xdr:row>36</xdr:row>
      <xdr:rowOff>6</xdr:rowOff>
    </xdr:from>
    <xdr:ext cx="3306739" cy="217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892A60-C8AA-4AC0-98B7-5973464E52D6}"/>
            </a:ext>
          </a:extLst>
        </xdr:cNvPr>
        <xdr:cNvSpPr txBox="1"/>
      </xdr:nvSpPr>
      <xdr:spPr>
        <a:xfrm>
          <a:off x="126991" y="9725031"/>
          <a:ext cx="330673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</a:rPr>
            <a:t>NADA Academy Variable</a:t>
          </a:r>
          <a:r>
            <a:rPr lang="en-US" sz="800" baseline="0">
              <a:solidFill>
                <a:schemeClr val="tx1">
                  <a:lumMod val="50000"/>
                  <a:lumOff val="50000"/>
                </a:schemeClr>
              </a:solidFill>
            </a:rPr>
            <a:t> Operations I </a:t>
          </a:r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rPr>
            <a:t>© 2019 NADA.  All rights reserved.  </a:t>
          </a:r>
          <a:endParaRPr lang="en-US" sz="8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twoCellAnchor>
    <xdr:from>
      <xdr:col>1</xdr:col>
      <xdr:colOff>28752</xdr:colOff>
      <xdr:row>0</xdr:row>
      <xdr:rowOff>99217</xdr:rowOff>
    </xdr:from>
    <xdr:to>
      <xdr:col>2</xdr:col>
      <xdr:colOff>49390</xdr:colOff>
      <xdr:row>3</xdr:row>
      <xdr:rowOff>211666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6A18C559-2F96-4309-BE52-0E112264403E}"/>
            </a:ext>
          </a:extLst>
        </xdr:cNvPr>
        <xdr:cNvSpPr txBox="1">
          <a:spLocks noChangeArrowheads="1"/>
        </xdr:cNvSpPr>
      </xdr:nvSpPr>
      <xdr:spPr bwMode="auto">
        <a:xfrm>
          <a:off x="228777" y="99217"/>
          <a:ext cx="1020763" cy="7791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Current Data</a:t>
          </a:r>
        </a:p>
      </xdr:txBody>
    </xdr:sp>
    <xdr:clientData/>
  </xdr:twoCellAnchor>
  <xdr:twoCellAnchor editAs="oneCell">
    <xdr:from>
      <xdr:col>5</xdr:col>
      <xdr:colOff>0</xdr:colOff>
      <xdr:row>0</xdr:row>
      <xdr:rowOff>19655</xdr:rowOff>
    </xdr:from>
    <xdr:to>
      <xdr:col>6</xdr:col>
      <xdr:colOff>887840</xdr:colOff>
      <xdr:row>4</xdr:row>
      <xdr:rowOff>18674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911E0C-E0F0-4CA6-9427-E2152B420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46551" y="19655"/>
          <a:ext cx="2100690" cy="913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46"/>
  <sheetViews>
    <sheetView showGridLines="0" tabSelected="1" zoomScale="90" zoomScaleNormal="90" zoomScalePageLayoutView="90" workbookViewId="0">
      <selection activeCell="K20" sqref="K20"/>
    </sheetView>
  </sheetViews>
  <sheetFormatPr defaultColWidth="8.85546875" defaultRowHeight="12.75" x14ac:dyDescent="0.2"/>
  <cols>
    <col min="1" max="1" width="3" style="3" customWidth="1"/>
    <col min="2" max="2" width="15" style="3" customWidth="1"/>
    <col min="3" max="3" width="18" style="3" customWidth="1"/>
    <col min="4" max="5" width="18.5703125" customWidth="1"/>
    <col min="6" max="6" width="0.85546875" customWidth="1"/>
    <col min="7" max="7" width="2.85546875" customWidth="1"/>
    <col min="8" max="8" width="18.140625" style="1" customWidth="1"/>
    <col min="9" max="9" width="50.7109375" customWidth="1"/>
    <col min="10" max="10" width="22.42578125" customWidth="1"/>
    <col min="11" max="11" width="35.85546875" style="3" customWidth="1"/>
    <col min="12" max="12" width="12.42578125" customWidth="1"/>
    <col min="13" max="13" width="8.5703125" customWidth="1"/>
    <col min="14" max="16" width="12.5703125" customWidth="1"/>
  </cols>
  <sheetData>
    <row r="1" spans="1:14" s="3" customFormat="1" ht="13.5" customHeight="1" x14ac:dyDescent="0.2">
      <c r="D1" s="4"/>
      <c r="E1" s="4"/>
      <c r="F1" s="4"/>
      <c r="H1" s="2"/>
      <c r="I1" s="4"/>
      <c r="J1" s="4"/>
      <c r="K1" s="4"/>
      <c r="L1" s="4"/>
      <c r="M1" s="2"/>
      <c r="N1" s="2"/>
    </row>
    <row r="2" spans="1:14" ht="19.5" customHeight="1" thickBot="1" x14ac:dyDescent="0.3">
      <c r="A2" s="10"/>
      <c r="B2" s="41"/>
      <c r="C2" s="41"/>
      <c r="D2" s="41"/>
      <c r="E2" s="41"/>
      <c r="F2" s="41"/>
      <c r="G2" s="54"/>
      <c r="H2" s="55"/>
      <c r="I2" s="56"/>
      <c r="J2" s="56"/>
      <c r="K2" s="6"/>
      <c r="L2" s="5"/>
      <c r="M2" s="2"/>
      <c r="N2" s="2"/>
    </row>
    <row r="3" spans="1:14" ht="20.100000000000001" customHeight="1" thickBot="1" x14ac:dyDescent="0.3">
      <c r="A3" s="10"/>
      <c r="B3" s="57"/>
      <c r="C3" s="58"/>
      <c r="D3" s="24" t="s">
        <v>20</v>
      </c>
      <c r="E3" s="59">
        <v>72</v>
      </c>
      <c r="F3" s="60"/>
      <c r="G3" s="54"/>
      <c r="H3" s="55"/>
      <c r="I3" s="61"/>
      <c r="J3" s="61"/>
      <c r="K3" s="7"/>
      <c r="L3" s="4"/>
      <c r="M3" s="2"/>
      <c r="N3" s="2"/>
    </row>
    <row r="4" spans="1:14" ht="20.100000000000001" customHeight="1" thickBot="1" x14ac:dyDescent="0.3">
      <c r="A4" s="10"/>
      <c r="B4" s="57"/>
      <c r="C4" s="58"/>
      <c r="D4" s="24" t="s">
        <v>6</v>
      </c>
      <c r="E4" s="62">
        <v>5</v>
      </c>
      <c r="F4" s="60"/>
      <c r="G4" s="54"/>
      <c r="H4" s="55"/>
      <c r="I4" s="63"/>
      <c r="J4" s="63"/>
      <c r="K4" s="8"/>
      <c r="L4" s="5"/>
      <c r="M4" s="2"/>
      <c r="N4" s="2"/>
    </row>
    <row r="5" spans="1:14" ht="20.100000000000001" customHeight="1" thickBot="1" x14ac:dyDescent="0.3">
      <c r="A5" s="10"/>
      <c r="B5" s="57"/>
      <c r="C5" s="58"/>
      <c r="D5" s="24" t="s">
        <v>9</v>
      </c>
      <c r="E5" s="79">
        <f>IF(ISERROR(E3/E4),"",(E3)/E4)</f>
        <v>14.4</v>
      </c>
      <c r="F5" s="60"/>
      <c r="G5" s="54"/>
      <c r="H5" s="55"/>
      <c r="I5" s="63"/>
      <c r="J5" s="63"/>
      <c r="K5" s="9"/>
      <c r="L5" s="4"/>
      <c r="M5" s="2"/>
      <c r="N5" s="2"/>
    </row>
    <row r="6" spans="1:14" ht="20.100000000000001" customHeight="1" thickBot="1" x14ac:dyDescent="0.3">
      <c r="A6" s="10"/>
      <c r="B6" s="57"/>
      <c r="C6" s="58"/>
      <c r="D6" s="24" t="s">
        <v>14</v>
      </c>
      <c r="E6" s="47">
        <v>40</v>
      </c>
      <c r="F6" s="60"/>
      <c r="G6" s="54"/>
      <c r="H6" s="64"/>
      <c r="I6" s="65"/>
      <c r="J6" s="65"/>
      <c r="K6" s="9"/>
      <c r="L6" s="4"/>
      <c r="M6" s="2"/>
      <c r="N6" s="2"/>
    </row>
    <row r="7" spans="1:14" ht="20.100000000000001" customHeight="1" thickBot="1" x14ac:dyDescent="0.3">
      <c r="A7" s="10"/>
      <c r="B7" s="57"/>
      <c r="C7" s="58"/>
      <c r="D7" s="24" t="s">
        <v>0</v>
      </c>
      <c r="E7" s="80">
        <f>IF(ISERROR(E6/E5),"",E6/E5)</f>
        <v>2.7777777777777777</v>
      </c>
      <c r="F7" s="60"/>
      <c r="G7" s="54"/>
      <c r="H7" s="64"/>
      <c r="I7" s="65"/>
      <c r="J7" s="65"/>
      <c r="K7" s="11"/>
      <c r="L7" s="5"/>
      <c r="M7" s="2"/>
      <c r="N7" s="15"/>
    </row>
    <row r="8" spans="1:14" ht="20.100000000000001" customHeight="1" thickTop="1" thickBot="1" x14ac:dyDescent="0.3">
      <c r="A8" s="10"/>
      <c r="B8" s="66"/>
      <c r="C8" s="67"/>
      <c r="D8" s="25" t="s">
        <v>10</v>
      </c>
      <c r="E8" s="81">
        <f>IF(ISERROR(12/E7),"",12/E7)</f>
        <v>4.32</v>
      </c>
      <c r="F8" s="60"/>
      <c r="G8" s="68"/>
      <c r="H8" s="98">
        <v>5</v>
      </c>
      <c r="I8" s="27" t="s">
        <v>13</v>
      </c>
      <c r="J8" s="27"/>
      <c r="K8" s="12"/>
      <c r="L8" s="4"/>
      <c r="M8" s="2"/>
      <c r="N8" s="15"/>
    </row>
    <row r="9" spans="1:14" ht="20.100000000000001" customHeight="1" thickTop="1" thickBot="1" x14ac:dyDescent="0.3">
      <c r="B9" s="69"/>
      <c r="C9" s="70"/>
      <c r="D9" s="26" t="s">
        <v>21</v>
      </c>
      <c r="E9" s="71">
        <v>7003</v>
      </c>
      <c r="F9" s="60"/>
      <c r="G9" s="72"/>
      <c r="H9" s="97">
        <v>5003</v>
      </c>
      <c r="I9" s="28" t="s">
        <v>18</v>
      </c>
      <c r="J9" s="73"/>
      <c r="K9" s="13"/>
      <c r="L9" s="5"/>
      <c r="M9" s="2"/>
      <c r="N9" s="15"/>
    </row>
    <row r="10" spans="1:14" ht="20.100000000000001" customHeight="1" thickTop="1" thickBot="1" x14ac:dyDescent="0.3">
      <c r="B10" s="49"/>
      <c r="C10" s="74"/>
      <c r="D10" s="74"/>
      <c r="E10" s="74"/>
      <c r="F10" s="60"/>
      <c r="G10" s="61"/>
      <c r="H10" s="83">
        <f>IF(ISERROR(E6*H8)/12,"",(E6*H8)/12)</f>
        <v>16.666666666666668</v>
      </c>
      <c r="I10" s="29" t="s">
        <v>8</v>
      </c>
      <c r="J10" s="29"/>
      <c r="K10" s="7"/>
      <c r="L10" s="4"/>
      <c r="M10" s="2"/>
      <c r="N10" s="15"/>
    </row>
    <row r="11" spans="1:14" ht="20.100000000000001" customHeight="1" thickBot="1" x14ac:dyDescent="0.3">
      <c r="B11" s="49"/>
      <c r="C11" s="74"/>
      <c r="D11" s="75" t="s">
        <v>11</v>
      </c>
      <c r="E11" s="82">
        <f>IF(ISERROR(E9*E5),"",(E9*E5))</f>
        <v>100843.2</v>
      </c>
      <c r="F11" s="60"/>
      <c r="G11" s="61"/>
      <c r="H11" s="84">
        <f>IF(ISERROR(H9*H10),"",H9*H10)</f>
        <v>83383.333333333343</v>
      </c>
      <c r="I11" s="29" t="s">
        <v>1</v>
      </c>
      <c r="J11" s="29"/>
      <c r="K11" s="7"/>
      <c r="L11" s="5"/>
      <c r="M11" s="2"/>
      <c r="N11" s="15"/>
    </row>
    <row r="12" spans="1:14" ht="20.100000000000001" customHeight="1" thickBot="1" x14ac:dyDescent="0.3">
      <c r="B12" s="49"/>
      <c r="C12" s="74"/>
      <c r="D12" s="76"/>
      <c r="E12" s="76"/>
      <c r="F12" s="41"/>
      <c r="G12" s="61"/>
      <c r="H12" s="84">
        <f>IF(ISERROR(H11-E11),"",IF(ISBLANK(H8),"",(H11-E11)))</f>
        <v>-17459.866666666654</v>
      </c>
      <c r="I12" s="30" t="s">
        <v>16</v>
      </c>
      <c r="J12" s="30"/>
      <c r="K12" s="7"/>
      <c r="L12" s="4"/>
      <c r="M12" s="2"/>
      <c r="N12" s="15"/>
    </row>
    <row r="13" spans="1:14" ht="20.100000000000001" customHeight="1" thickBot="1" x14ac:dyDescent="0.3">
      <c r="B13" s="49"/>
      <c r="C13" s="74"/>
      <c r="D13" s="75" t="s">
        <v>12</v>
      </c>
      <c r="E13" s="82">
        <f>IF(ISERROR(E11*12),"",E11*12)</f>
        <v>1210118.3999999999</v>
      </c>
      <c r="F13" s="41"/>
      <c r="G13" s="61"/>
      <c r="H13" s="85">
        <f>IF(ISERROR(H11*12),"",(H11*12))</f>
        <v>1000600.0000000001</v>
      </c>
      <c r="I13" s="29" t="s">
        <v>4</v>
      </c>
      <c r="J13" s="29"/>
      <c r="L13" s="5"/>
      <c r="M13" s="2"/>
      <c r="N13" s="15"/>
    </row>
    <row r="14" spans="1:14" ht="20.100000000000001" customHeight="1" x14ac:dyDescent="0.25">
      <c r="B14" s="77"/>
      <c r="C14" s="77"/>
      <c r="D14" s="77"/>
      <c r="E14" s="49"/>
      <c r="F14" s="41"/>
      <c r="G14" s="78"/>
      <c r="H14" s="84">
        <f>IF(ISERROR(H12*12),"",H12*12)</f>
        <v>-209518.39999999985</v>
      </c>
      <c r="I14" s="30" t="s">
        <v>17</v>
      </c>
      <c r="J14" s="30"/>
      <c r="K14"/>
      <c r="M14" s="14"/>
      <c r="N14" s="14"/>
    </row>
    <row r="15" spans="1:14" x14ac:dyDescent="0.2">
      <c r="D15" s="3"/>
      <c r="E15" s="3"/>
      <c r="F15" s="3"/>
      <c r="G15" s="3"/>
      <c r="H15" s="3"/>
      <c r="I15" s="3"/>
      <c r="J15" s="3"/>
      <c r="L15" s="14"/>
      <c r="M15" s="14"/>
      <c r="N15" s="14"/>
    </row>
    <row r="16" spans="1:14" ht="18" customHeight="1" x14ac:dyDescent="0.2">
      <c r="B16" s="20"/>
      <c r="C16" s="20"/>
      <c r="D16" s="20"/>
      <c r="E16" s="20"/>
      <c r="F16" s="20"/>
      <c r="G16" s="20"/>
      <c r="H16" s="21"/>
      <c r="I16" s="22"/>
      <c r="J16" s="20"/>
      <c r="L16" s="14"/>
      <c r="M16" s="14"/>
      <c r="N16" s="14"/>
    </row>
    <row r="17" spans="2:14" ht="18" customHeight="1" x14ac:dyDescent="0.2">
      <c r="B17" s="20"/>
      <c r="C17" s="20"/>
      <c r="D17" s="20"/>
      <c r="E17" s="20"/>
      <c r="F17" s="20"/>
      <c r="G17" s="20"/>
      <c r="H17" s="33" t="s">
        <v>15</v>
      </c>
      <c r="I17" s="34" t="s">
        <v>3</v>
      </c>
      <c r="J17" s="33" t="s">
        <v>2</v>
      </c>
      <c r="L17" s="14"/>
      <c r="M17" s="14"/>
      <c r="N17" s="14"/>
    </row>
    <row r="18" spans="2:14" ht="21.95" customHeight="1" x14ac:dyDescent="0.2">
      <c r="B18" s="39"/>
      <c r="C18" s="39"/>
      <c r="D18" s="40"/>
      <c r="E18" s="39"/>
      <c r="F18" s="41"/>
      <c r="G18" s="41"/>
      <c r="H18" s="86">
        <f>ROUNDUP((H10-E5),-0.5)</f>
        <v>3</v>
      </c>
      <c r="I18" s="35" t="s">
        <v>50</v>
      </c>
      <c r="J18" s="87">
        <f>(H18*12)</f>
        <v>36</v>
      </c>
    </row>
    <row r="19" spans="2:14" ht="6.75" customHeight="1" thickBot="1" x14ac:dyDescent="0.3">
      <c r="B19" s="41"/>
      <c r="C19" s="41"/>
      <c r="D19" s="40"/>
      <c r="E19" s="39"/>
      <c r="F19" s="41"/>
      <c r="G19" s="41"/>
      <c r="H19" s="42"/>
      <c r="I19" s="43"/>
      <c r="J19" s="44"/>
      <c r="L19" s="14"/>
      <c r="M19" s="14"/>
      <c r="N19" s="14"/>
    </row>
    <row r="20" spans="2:14" ht="21.95" customHeight="1" thickBot="1" x14ac:dyDescent="0.3">
      <c r="B20" s="45"/>
      <c r="C20" s="31" t="s">
        <v>22</v>
      </c>
      <c r="D20" s="46"/>
      <c r="E20" s="47">
        <v>2373</v>
      </c>
      <c r="F20" s="41"/>
      <c r="G20" s="41"/>
      <c r="H20" s="95">
        <f>E20*H18</f>
        <v>7119</v>
      </c>
      <c r="I20" s="35" t="s">
        <v>32</v>
      </c>
      <c r="J20" s="95">
        <f>(H20*12)</f>
        <v>85428</v>
      </c>
      <c r="L20" s="14"/>
      <c r="M20" s="14"/>
      <c r="N20" s="14"/>
    </row>
    <row r="21" spans="2:14" ht="6.75" customHeight="1" thickBot="1" x14ac:dyDescent="0.3">
      <c r="B21" s="48"/>
      <c r="C21" s="48"/>
      <c r="D21" s="48"/>
      <c r="E21" s="49"/>
      <c r="F21" s="41"/>
      <c r="G21" s="41"/>
      <c r="H21" s="50"/>
      <c r="I21" s="43"/>
      <c r="J21" s="44"/>
      <c r="L21" s="14"/>
      <c r="M21" s="14"/>
      <c r="N21" s="14"/>
    </row>
    <row r="22" spans="2:14" ht="48" thickBot="1" x14ac:dyDescent="0.25">
      <c r="B22" s="32" t="s">
        <v>23</v>
      </c>
      <c r="C22" s="51">
        <v>848</v>
      </c>
      <c r="D22" s="31" t="s">
        <v>52</v>
      </c>
      <c r="E22" s="82">
        <f>C22*0.5</f>
        <v>424</v>
      </c>
      <c r="F22" s="41"/>
      <c r="G22" s="41"/>
      <c r="H22" s="95">
        <f>E22*H18</f>
        <v>1272</v>
      </c>
      <c r="I22" s="35" t="s">
        <v>33</v>
      </c>
      <c r="J22" s="95">
        <f t="shared" ref="J22:J31" si="0">(H22*12)</f>
        <v>15264</v>
      </c>
      <c r="L22" s="14"/>
      <c r="M22" s="14"/>
      <c r="N22" s="14"/>
    </row>
    <row r="23" spans="2:14" ht="16.5" thickBot="1" x14ac:dyDescent="0.25">
      <c r="B23" s="32" t="s">
        <v>24</v>
      </c>
      <c r="C23" s="89">
        <v>0.67</v>
      </c>
      <c r="D23" s="31" t="s">
        <v>26</v>
      </c>
      <c r="E23" s="96">
        <f>H18*C23</f>
        <v>2.0100000000000002</v>
      </c>
      <c r="F23" s="41"/>
      <c r="G23" s="41"/>
      <c r="H23" s="95">
        <f>E26*E24</f>
        <v>600.7387500000001</v>
      </c>
      <c r="I23" s="35" t="s">
        <v>34</v>
      </c>
      <c r="J23" s="95">
        <f t="shared" si="0"/>
        <v>7208.8650000000016</v>
      </c>
      <c r="L23" s="14"/>
      <c r="M23" s="14"/>
      <c r="N23" s="14"/>
    </row>
    <row r="24" spans="2:14" ht="48" thickBot="1" x14ac:dyDescent="0.25">
      <c r="B24" s="32" t="s">
        <v>29</v>
      </c>
      <c r="C24" s="89">
        <v>0.375</v>
      </c>
      <c r="D24" s="90" t="s">
        <v>30</v>
      </c>
      <c r="E24" s="96">
        <f>E23*C24</f>
        <v>0.75375000000000014</v>
      </c>
      <c r="F24" s="41"/>
      <c r="G24" s="41"/>
      <c r="H24" s="95">
        <f>(E25*(E23-E24))</f>
        <v>2949.046875</v>
      </c>
      <c r="I24" s="35" t="s">
        <v>35</v>
      </c>
      <c r="J24" s="95">
        <f t="shared" si="0"/>
        <v>35388.5625</v>
      </c>
      <c r="L24" s="14"/>
      <c r="M24" s="14"/>
      <c r="N24" s="14"/>
    </row>
    <row r="25" spans="2:14" ht="30.75" customHeight="1" thickBot="1" x14ac:dyDescent="0.25">
      <c r="B25" s="32" t="s">
        <v>25</v>
      </c>
      <c r="C25" s="51">
        <v>4695</v>
      </c>
      <c r="D25" s="31" t="s">
        <v>52</v>
      </c>
      <c r="E25" s="82">
        <f>C25*0.5</f>
        <v>2347.5</v>
      </c>
      <c r="F25" s="41"/>
      <c r="G25" s="41"/>
      <c r="H25" s="95">
        <f>(E27*(E23-E24))</f>
        <v>0</v>
      </c>
      <c r="I25" s="35" t="s">
        <v>36</v>
      </c>
      <c r="J25" s="95">
        <f t="shared" si="0"/>
        <v>0</v>
      </c>
      <c r="L25" s="14"/>
      <c r="M25" s="14"/>
      <c r="N25" s="14"/>
    </row>
    <row r="26" spans="2:14" ht="21.95" customHeight="1" thickBot="1" x14ac:dyDescent="0.25">
      <c r="B26" s="104" t="s">
        <v>31</v>
      </c>
      <c r="C26" s="105"/>
      <c r="D26" s="106"/>
      <c r="E26" s="52">
        <v>797</v>
      </c>
      <c r="F26" s="41"/>
      <c r="G26" s="41"/>
      <c r="H26" s="95">
        <f>(E28*(E23-E24))</f>
        <v>628.125</v>
      </c>
      <c r="I26" s="35" t="s">
        <v>46</v>
      </c>
      <c r="J26" s="95">
        <f t="shared" si="0"/>
        <v>7537.5</v>
      </c>
      <c r="L26" s="14"/>
      <c r="M26" s="14"/>
      <c r="N26" s="14"/>
    </row>
    <row r="27" spans="2:14" ht="21.95" customHeight="1" thickBot="1" x14ac:dyDescent="0.25">
      <c r="B27" s="104" t="s">
        <v>27</v>
      </c>
      <c r="C27" s="105"/>
      <c r="D27" s="106"/>
      <c r="E27" s="52"/>
      <c r="F27" s="41"/>
      <c r="G27" s="41"/>
      <c r="H27" s="95">
        <f>E29*H18</f>
        <v>1500</v>
      </c>
      <c r="I27" s="35" t="s">
        <v>47</v>
      </c>
      <c r="J27" s="95">
        <f t="shared" si="0"/>
        <v>18000</v>
      </c>
      <c r="L27" s="14"/>
      <c r="M27" s="14"/>
      <c r="N27" s="14"/>
    </row>
    <row r="28" spans="2:14" ht="21.95" customHeight="1" thickBot="1" x14ac:dyDescent="0.25">
      <c r="B28" s="104" t="s">
        <v>49</v>
      </c>
      <c r="C28" s="105"/>
      <c r="D28" s="106"/>
      <c r="E28" s="52">
        <v>500</v>
      </c>
      <c r="F28" s="41"/>
      <c r="G28" s="41"/>
      <c r="H28" s="95">
        <f>(E30*H18)+(E30*(E23-E24))</f>
        <v>532.03125</v>
      </c>
      <c r="I28" s="35" t="s">
        <v>37</v>
      </c>
      <c r="J28" s="95">
        <f t="shared" si="0"/>
        <v>6384.375</v>
      </c>
      <c r="L28" s="14"/>
      <c r="M28" s="14"/>
      <c r="N28" s="14"/>
    </row>
    <row r="29" spans="2:14" ht="21.95" customHeight="1" thickBot="1" x14ac:dyDescent="0.25">
      <c r="B29" s="104" t="s">
        <v>48</v>
      </c>
      <c r="C29" s="105"/>
      <c r="D29" s="106"/>
      <c r="E29" s="52">
        <v>500</v>
      </c>
      <c r="F29" s="41"/>
      <c r="G29" s="41"/>
      <c r="H29" s="95">
        <f>(E31*H18)</f>
        <v>11238</v>
      </c>
      <c r="I29" s="35" t="s">
        <v>39</v>
      </c>
      <c r="J29" s="95">
        <f t="shared" si="0"/>
        <v>134856</v>
      </c>
      <c r="L29" s="14"/>
      <c r="M29" s="14"/>
      <c r="N29" s="14"/>
    </row>
    <row r="30" spans="2:14" ht="21.95" customHeight="1" thickBot="1" x14ac:dyDescent="0.25">
      <c r="B30" s="104" t="s">
        <v>45</v>
      </c>
      <c r="C30" s="105"/>
      <c r="D30" s="106"/>
      <c r="E30" s="52">
        <v>125</v>
      </c>
      <c r="F30" s="41"/>
      <c r="G30" s="41"/>
      <c r="H30" s="95">
        <f>(E32*H18)</f>
        <v>1386</v>
      </c>
      <c r="I30" s="35" t="s">
        <v>40</v>
      </c>
      <c r="J30" s="95">
        <f t="shared" si="0"/>
        <v>16632</v>
      </c>
      <c r="L30" s="14"/>
      <c r="M30" s="14"/>
      <c r="N30" s="14"/>
    </row>
    <row r="31" spans="2:14" ht="24" customHeight="1" thickBot="1" x14ac:dyDescent="0.25">
      <c r="B31" s="104" t="s">
        <v>42</v>
      </c>
      <c r="C31" s="105"/>
      <c r="D31" s="106"/>
      <c r="E31" s="52">
        <v>3746</v>
      </c>
      <c r="F31" s="41"/>
      <c r="G31" s="41"/>
      <c r="H31" s="95">
        <f>(E33*H18)</f>
        <v>0</v>
      </c>
      <c r="I31" s="35" t="s">
        <v>41</v>
      </c>
      <c r="J31" s="95">
        <f t="shared" si="0"/>
        <v>0</v>
      </c>
      <c r="L31" s="14"/>
      <c r="M31" s="14"/>
      <c r="N31" s="14"/>
    </row>
    <row r="32" spans="2:14" ht="24" customHeight="1" thickBot="1" x14ac:dyDescent="0.25">
      <c r="B32" s="104" t="s">
        <v>43</v>
      </c>
      <c r="C32" s="105"/>
      <c r="D32" s="106"/>
      <c r="E32" s="52">
        <v>462</v>
      </c>
      <c r="F32" s="41"/>
      <c r="G32" s="41"/>
      <c r="H32" s="103">
        <f>H12</f>
        <v>-17459.866666666654</v>
      </c>
      <c r="I32" s="36" t="s">
        <v>19</v>
      </c>
      <c r="J32" s="95">
        <f>H14</f>
        <v>-209518.39999999985</v>
      </c>
      <c r="L32" s="14"/>
      <c r="M32" s="14"/>
      <c r="N32" s="14"/>
    </row>
    <row r="33" spans="1:14" ht="24" customHeight="1" thickBot="1" x14ac:dyDescent="0.25">
      <c r="B33" s="110" t="s">
        <v>44</v>
      </c>
      <c r="C33" s="111"/>
      <c r="D33" s="112"/>
      <c r="E33" s="88">
        <v>0</v>
      </c>
      <c r="F33" s="41"/>
      <c r="G33" s="41"/>
      <c r="H33" s="95">
        <f>SUM(H20:H31)</f>
        <v>27224.941875</v>
      </c>
      <c r="I33" s="36" t="s">
        <v>5</v>
      </c>
      <c r="J33" s="95">
        <f>SUM(J20:J31)</f>
        <v>326699.30249999999</v>
      </c>
      <c r="L33" s="14"/>
      <c r="M33" s="14"/>
      <c r="N33" s="14"/>
    </row>
    <row r="34" spans="1:14" ht="24" customHeight="1" thickBot="1" x14ac:dyDescent="0.25">
      <c r="B34" s="91"/>
      <c r="C34" s="92"/>
      <c r="D34" s="92"/>
      <c r="E34" s="93"/>
      <c r="F34" s="41"/>
      <c r="G34" s="41"/>
      <c r="H34" s="95">
        <f>(H32+H33)</f>
        <v>9765.0752083333464</v>
      </c>
      <c r="I34" s="37" t="s">
        <v>7</v>
      </c>
      <c r="J34" s="95">
        <f>J33+J32</f>
        <v>117180.90250000014</v>
      </c>
      <c r="L34" s="14"/>
      <c r="M34" s="14"/>
      <c r="N34" s="14"/>
    </row>
    <row r="35" spans="1:14" s="18" customFormat="1" ht="30" customHeight="1" thickBot="1" x14ac:dyDescent="0.25">
      <c r="A35" s="16"/>
      <c r="B35" s="107" t="s">
        <v>28</v>
      </c>
      <c r="C35" s="108"/>
      <c r="D35" s="108"/>
      <c r="E35" s="109"/>
      <c r="F35" s="53"/>
      <c r="G35" s="53"/>
      <c r="H35" s="95">
        <f>(E11+H34)</f>
        <v>110608.27520833335</v>
      </c>
      <c r="I35" s="38" t="s">
        <v>38</v>
      </c>
      <c r="J35" s="95">
        <f>E13+J34</f>
        <v>1327299.3025</v>
      </c>
      <c r="K35" s="16"/>
      <c r="L35" s="17"/>
      <c r="M35" s="17"/>
      <c r="N35" s="17"/>
    </row>
    <row r="36" spans="1:14" ht="15" x14ac:dyDescent="0.25">
      <c r="F36" s="3"/>
      <c r="G36" s="3"/>
      <c r="H36" s="23"/>
      <c r="I36" s="23"/>
      <c r="J36" s="23"/>
      <c r="L36" s="14"/>
      <c r="M36" s="14"/>
      <c r="N36" s="14"/>
    </row>
    <row r="37" spans="1:14" x14ac:dyDescent="0.2">
      <c r="B37" s="14"/>
      <c r="C37" s="14"/>
      <c r="D37" s="14"/>
      <c r="E37" s="14"/>
    </row>
    <row r="38" spans="1:14" x14ac:dyDescent="0.2">
      <c r="B38" s="14"/>
      <c r="C38" s="14"/>
      <c r="D38" s="14"/>
      <c r="E38" s="14"/>
      <c r="F38" s="14"/>
      <c r="G38" s="14"/>
      <c r="H38" s="14"/>
      <c r="I38" s="14"/>
      <c r="J38" s="14"/>
      <c r="K38" s="14"/>
    </row>
    <row r="39" spans="1:14" x14ac:dyDescent="0.2">
      <c r="B39" s="14"/>
      <c r="C39" s="14"/>
      <c r="D39" s="14"/>
      <c r="E39" s="19"/>
      <c r="F39" s="14"/>
      <c r="G39" s="14"/>
      <c r="H39" s="14"/>
      <c r="I39" s="14"/>
      <c r="J39" s="14"/>
      <c r="K39" s="14"/>
    </row>
    <row r="40" spans="1:14" x14ac:dyDescent="0.2"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pans="1:14" x14ac:dyDescent="0.2"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pans="1:14" x14ac:dyDescent="0.2"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spans="1:14" x14ac:dyDescent="0.2"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pans="1:14" x14ac:dyDescent="0.2"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pans="1:14" x14ac:dyDescent="0.2"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spans="1:14" x14ac:dyDescent="0.2">
      <c r="F46" s="14"/>
      <c r="G46" s="14"/>
      <c r="H46" s="14"/>
      <c r="I46" s="14"/>
      <c r="J46" s="14"/>
      <c r="K46" s="14"/>
    </row>
  </sheetData>
  <mergeCells count="9">
    <mergeCell ref="B27:D27"/>
    <mergeCell ref="B26:D26"/>
    <mergeCell ref="B35:E35"/>
    <mergeCell ref="B29:D29"/>
    <mergeCell ref="B30:D30"/>
    <mergeCell ref="B31:D31"/>
    <mergeCell ref="B32:D32"/>
    <mergeCell ref="B33:D33"/>
    <mergeCell ref="B28:D28"/>
  </mergeCells>
  <dataValidations count="1">
    <dataValidation type="whole" allowBlank="1" showInputMessage="1" showErrorMessage="1" sqref="E3" xr:uid="{00000000-0002-0000-0000-000000000000}">
      <formula1>0</formula1>
      <formula2>10000</formula2>
    </dataValidation>
  </dataValidations>
  <pageMargins left="0.75" right="0.75" top="1" bottom="1" header="0.5" footer="0.5"/>
  <pageSetup orientation="landscape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8FB45-B03B-4822-911D-A5B8C87553A3}">
  <dimension ref="A1:K46"/>
  <sheetViews>
    <sheetView showGridLines="0" zoomScale="90" zoomScaleNormal="90" zoomScalePageLayoutView="90" workbookViewId="0">
      <selection activeCell="B35" sqref="B35:E35"/>
    </sheetView>
  </sheetViews>
  <sheetFormatPr defaultColWidth="8.85546875" defaultRowHeight="12.75" x14ac:dyDescent="0.2"/>
  <cols>
    <col min="1" max="1" width="3" style="3" customWidth="1"/>
    <col min="2" max="2" width="15" style="3" customWidth="1"/>
    <col min="3" max="3" width="18" style="3" customWidth="1"/>
    <col min="4" max="5" width="18.5703125" customWidth="1"/>
    <col min="6" max="6" width="18.140625" style="1" customWidth="1"/>
    <col min="7" max="7" width="22.42578125" customWidth="1"/>
    <col min="8" max="8" width="35.85546875" style="3" customWidth="1"/>
    <col min="9" max="9" width="12.42578125" customWidth="1"/>
    <col min="10" max="10" width="8.5703125" customWidth="1"/>
    <col min="11" max="13" width="12.5703125" customWidth="1"/>
  </cols>
  <sheetData>
    <row r="1" spans="1:11" s="3" customFormat="1" ht="13.5" customHeight="1" x14ac:dyDescent="0.2">
      <c r="D1" s="4"/>
      <c r="E1" s="4"/>
      <c r="F1" s="2"/>
      <c r="G1" s="4"/>
      <c r="H1" s="4"/>
      <c r="I1" s="4"/>
      <c r="J1" s="2"/>
      <c r="K1" s="2"/>
    </row>
    <row r="2" spans="1:11" ht="19.5" customHeight="1" thickBot="1" x14ac:dyDescent="0.3">
      <c r="A2" s="10"/>
      <c r="B2" s="41"/>
      <c r="C2" s="41"/>
      <c r="D2" s="41"/>
      <c r="E2" s="41"/>
      <c r="F2" s="55"/>
      <c r="G2" s="56"/>
      <c r="H2" s="6"/>
      <c r="I2" s="5"/>
      <c r="J2" s="2"/>
      <c r="K2" s="2"/>
    </row>
    <row r="3" spans="1:11" ht="20.100000000000001" customHeight="1" thickBot="1" x14ac:dyDescent="0.3">
      <c r="A3" s="10"/>
      <c r="B3" s="57"/>
      <c r="C3" s="58"/>
      <c r="D3" s="24" t="s">
        <v>20</v>
      </c>
      <c r="E3" s="59">
        <f>'Power of Turn'!E3</f>
        <v>72</v>
      </c>
      <c r="F3" s="55"/>
      <c r="G3" s="61"/>
      <c r="H3" s="7"/>
      <c r="I3" s="4"/>
      <c r="J3" s="2"/>
      <c r="K3" s="2"/>
    </row>
    <row r="4" spans="1:11" ht="20.100000000000001" customHeight="1" thickBot="1" x14ac:dyDescent="0.3">
      <c r="A4" s="10"/>
      <c r="B4" s="57"/>
      <c r="C4" s="58"/>
      <c r="D4" s="24" t="s">
        <v>6</v>
      </c>
      <c r="E4" s="59">
        <f>'Power of Turn'!E4</f>
        <v>5</v>
      </c>
      <c r="F4" s="5"/>
      <c r="G4" s="2"/>
      <c r="H4"/>
    </row>
    <row r="5" spans="1:11" ht="20.100000000000001" customHeight="1" thickBot="1" x14ac:dyDescent="0.3">
      <c r="A5" s="10"/>
      <c r="B5" s="57"/>
      <c r="C5" s="58"/>
      <c r="D5" s="24" t="s">
        <v>9</v>
      </c>
      <c r="E5" s="79">
        <f>IF(ISERROR(E3/E4),"",(E3)/E4)</f>
        <v>14.4</v>
      </c>
      <c r="F5" s="4"/>
      <c r="G5" s="2"/>
      <c r="H5"/>
    </row>
    <row r="6" spans="1:11" ht="20.100000000000001" customHeight="1" thickBot="1" x14ac:dyDescent="0.3">
      <c r="A6" s="10"/>
      <c r="B6" s="57"/>
      <c r="C6" s="58"/>
      <c r="D6" s="24" t="s">
        <v>14</v>
      </c>
      <c r="E6" s="59">
        <f>'Power of Turn'!E6</f>
        <v>40</v>
      </c>
      <c r="F6" s="4"/>
      <c r="G6" s="2"/>
      <c r="H6"/>
    </row>
    <row r="7" spans="1:11" ht="20.100000000000001" customHeight="1" thickBot="1" x14ac:dyDescent="0.3">
      <c r="A7" s="10"/>
      <c r="B7" s="57"/>
      <c r="C7" s="58"/>
      <c r="D7" s="24" t="s">
        <v>0</v>
      </c>
      <c r="E7" s="80">
        <f>IF(ISERROR(E6/E5),"",E6/E5)</f>
        <v>2.7777777777777777</v>
      </c>
      <c r="F7" s="5"/>
      <c r="G7" s="15"/>
      <c r="H7"/>
    </row>
    <row r="8" spans="1:11" ht="20.100000000000001" customHeight="1" thickTop="1" thickBot="1" x14ac:dyDescent="0.3">
      <c r="A8" s="10"/>
      <c r="B8" s="66"/>
      <c r="C8" s="67"/>
      <c r="D8" s="25" t="s">
        <v>10</v>
      </c>
      <c r="E8" s="81">
        <f>IF(ISERROR(12/E7),"",12/E7)</f>
        <v>4.32</v>
      </c>
      <c r="F8" s="4"/>
      <c r="G8" s="15"/>
      <c r="H8"/>
    </row>
    <row r="9" spans="1:11" ht="20.100000000000001" customHeight="1" thickBot="1" x14ac:dyDescent="0.3">
      <c r="B9" s="69"/>
      <c r="C9" s="70"/>
      <c r="D9" s="26" t="s">
        <v>21</v>
      </c>
      <c r="E9" s="102">
        <f>'Power of Turn'!E9</f>
        <v>7003</v>
      </c>
      <c r="F9" s="5"/>
      <c r="G9" s="15"/>
      <c r="H9"/>
    </row>
    <row r="10" spans="1:11" ht="20.100000000000001" customHeight="1" thickBot="1" x14ac:dyDescent="0.3">
      <c r="B10" s="49"/>
      <c r="C10" s="74"/>
      <c r="D10" s="74"/>
      <c r="E10" s="74"/>
      <c r="F10" s="4"/>
      <c r="G10" s="15"/>
      <c r="H10"/>
    </row>
    <row r="11" spans="1:11" ht="20.100000000000001" customHeight="1" thickBot="1" x14ac:dyDescent="0.3">
      <c r="B11" s="49"/>
      <c r="C11" s="74"/>
      <c r="D11" s="75" t="s">
        <v>11</v>
      </c>
      <c r="E11" s="82">
        <f>IF(ISERROR(E9*E5),"",(E9*E5))</f>
        <v>100843.2</v>
      </c>
      <c r="F11" s="5"/>
      <c r="G11" s="15"/>
      <c r="H11"/>
    </row>
    <row r="12" spans="1:11" ht="20.100000000000001" customHeight="1" thickBot="1" x14ac:dyDescent="0.3">
      <c r="B12" s="49"/>
      <c r="C12" s="74"/>
      <c r="D12" s="76"/>
      <c r="E12" s="76"/>
      <c r="F12" s="4"/>
      <c r="G12" s="15"/>
      <c r="H12"/>
    </row>
    <row r="13" spans="1:11" ht="20.100000000000001" customHeight="1" thickBot="1" x14ac:dyDescent="0.3">
      <c r="B13" s="49"/>
      <c r="C13" s="74"/>
      <c r="D13" s="75" t="s">
        <v>12</v>
      </c>
      <c r="E13" s="82">
        <f>IF(ISERROR(E11*12),"",E11*12)</f>
        <v>1210118.3999999999</v>
      </c>
      <c r="F13" s="5"/>
      <c r="G13" s="15"/>
      <c r="H13"/>
    </row>
    <row r="14" spans="1:11" ht="20.100000000000001" customHeight="1" x14ac:dyDescent="0.25">
      <c r="B14" s="77"/>
      <c r="C14" s="77"/>
      <c r="D14" s="77"/>
      <c r="E14" s="49"/>
      <c r="F14"/>
      <c r="G14" s="14"/>
      <c r="H14"/>
    </row>
    <row r="15" spans="1:11" x14ac:dyDescent="0.2">
      <c r="D15" s="3"/>
      <c r="E15" s="3"/>
      <c r="F15" s="14"/>
      <c r="G15" s="14"/>
      <c r="H15"/>
    </row>
    <row r="16" spans="1:11" ht="18" customHeight="1" x14ac:dyDescent="0.2">
      <c r="B16" s="20"/>
      <c r="C16" s="20"/>
      <c r="D16" s="20"/>
      <c r="E16" s="20"/>
      <c r="F16" s="20"/>
      <c r="G16" s="14"/>
      <c r="H16"/>
    </row>
    <row r="17" spans="2:8" ht="18" customHeight="1" x14ac:dyDescent="0.2">
      <c r="B17" s="20"/>
      <c r="C17" s="20"/>
      <c r="D17" s="20"/>
      <c r="E17" s="20"/>
      <c r="F17" s="20"/>
      <c r="G17" s="14"/>
      <c r="H17"/>
    </row>
    <row r="18" spans="2:8" ht="21.95" customHeight="1" x14ac:dyDescent="0.2">
      <c r="B18" s="39"/>
      <c r="C18" s="39"/>
      <c r="D18" s="40"/>
      <c r="E18" s="99" t="s">
        <v>53</v>
      </c>
      <c r="F18" s="99" t="s">
        <v>54</v>
      </c>
      <c r="H18"/>
    </row>
    <row r="19" spans="2:8" ht="6.75" customHeight="1" thickBot="1" x14ac:dyDescent="0.25">
      <c r="B19" s="41"/>
      <c r="C19" s="41"/>
      <c r="D19" s="40"/>
      <c r="E19" s="39"/>
      <c r="F19" s="41"/>
      <c r="G19" s="14"/>
      <c r="H19"/>
    </row>
    <row r="20" spans="2:8" ht="21.95" customHeight="1" thickBot="1" x14ac:dyDescent="0.3">
      <c r="B20" s="45"/>
      <c r="C20" s="94" t="s">
        <v>22</v>
      </c>
      <c r="D20" s="46"/>
      <c r="E20" s="102">
        <f>'Power of Turn'!E20</f>
        <v>2373</v>
      </c>
      <c r="F20" s="52">
        <f>E20*E3</f>
        <v>170856</v>
      </c>
      <c r="G20" s="14"/>
      <c r="H20"/>
    </row>
    <row r="21" spans="2:8" ht="6.75" customHeight="1" thickBot="1" x14ac:dyDescent="0.3">
      <c r="B21" s="48"/>
      <c r="C21" s="48"/>
      <c r="D21" s="48"/>
      <c r="E21" s="49"/>
      <c r="F21" s="49"/>
      <c r="G21" s="14"/>
      <c r="H21"/>
    </row>
    <row r="22" spans="2:8" ht="48" thickBot="1" x14ac:dyDescent="0.25">
      <c r="B22" s="32" t="s">
        <v>23</v>
      </c>
      <c r="C22" s="102">
        <f>'Power of Turn'!C22</f>
        <v>848</v>
      </c>
      <c r="D22" s="94" t="s">
        <v>52</v>
      </c>
      <c r="E22" s="82">
        <f>C22*0.5</f>
        <v>424</v>
      </c>
      <c r="F22" s="82">
        <f>E22*E3</f>
        <v>30528</v>
      </c>
      <c r="G22" s="14"/>
      <c r="H22"/>
    </row>
    <row r="23" spans="2:8" ht="16.5" thickBot="1" x14ac:dyDescent="0.25">
      <c r="B23" s="32" t="s">
        <v>24</v>
      </c>
      <c r="C23" s="101">
        <f>'Power of Turn'!C23</f>
        <v>0.67</v>
      </c>
      <c r="D23" s="94" t="s">
        <v>26</v>
      </c>
      <c r="E23" s="96">
        <f>C23*E3</f>
        <v>48.24</v>
      </c>
      <c r="F23" s="96">
        <f>E23</f>
        <v>48.24</v>
      </c>
      <c r="G23" s="14"/>
      <c r="H23"/>
    </row>
    <row r="24" spans="2:8" ht="48" thickBot="1" x14ac:dyDescent="0.25">
      <c r="B24" s="32" t="s">
        <v>29</v>
      </c>
      <c r="C24" s="101">
        <f>'Power of Turn'!C24</f>
        <v>0.375</v>
      </c>
      <c r="D24" s="90" t="s">
        <v>30</v>
      </c>
      <c r="E24" s="96">
        <f>E23*C24</f>
        <v>18.09</v>
      </c>
      <c r="F24" s="96">
        <f>E24</f>
        <v>18.09</v>
      </c>
      <c r="G24" s="14"/>
      <c r="H24"/>
    </row>
    <row r="25" spans="2:8" ht="30.75" customHeight="1" thickBot="1" x14ac:dyDescent="0.25">
      <c r="B25" s="32" t="s">
        <v>25</v>
      </c>
      <c r="C25" s="102">
        <f>'Power of Turn'!C25</f>
        <v>4695</v>
      </c>
      <c r="D25" s="94" t="s">
        <v>52</v>
      </c>
      <c r="E25" s="82">
        <f>C25*0.5</f>
        <v>2347.5</v>
      </c>
      <c r="F25" s="82">
        <f>E25*F23</f>
        <v>113243.40000000001</v>
      </c>
      <c r="G25" s="14"/>
      <c r="H25"/>
    </row>
    <row r="26" spans="2:8" ht="21.95" customHeight="1" thickBot="1" x14ac:dyDescent="0.25">
      <c r="B26" s="104" t="s">
        <v>31</v>
      </c>
      <c r="C26" s="105"/>
      <c r="D26" s="106"/>
      <c r="E26" s="102">
        <f>'Power of Turn'!E26</f>
        <v>797</v>
      </c>
      <c r="F26" s="52">
        <f>E26*F24</f>
        <v>14417.73</v>
      </c>
      <c r="G26" s="14"/>
      <c r="H26"/>
    </row>
    <row r="27" spans="2:8" ht="21.95" customHeight="1" thickBot="1" x14ac:dyDescent="0.25">
      <c r="B27" s="104" t="s">
        <v>27</v>
      </c>
      <c r="C27" s="105"/>
      <c r="D27" s="106"/>
      <c r="E27" s="102">
        <f>'Power of Turn'!E27</f>
        <v>0</v>
      </c>
      <c r="F27" s="52">
        <f>E27*(F23-F24)</f>
        <v>0</v>
      </c>
      <c r="G27" s="14"/>
      <c r="H27"/>
    </row>
    <row r="28" spans="2:8" ht="21.95" customHeight="1" thickBot="1" x14ac:dyDescent="0.25">
      <c r="B28" s="104" t="s">
        <v>49</v>
      </c>
      <c r="C28" s="105"/>
      <c r="D28" s="106"/>
      <c r="E28" s="102">
        <f>'Power of Turn'!E28</f>
        <v>500</v>
      </c>
      <c r="F28" s="52">
        <f>E28*(F23-F24)</f>
        <v>15075.000000000002</v>
      </c>
      <c r="G28" s="14"/>
      <c r="H28"/>
    </row>
    <row r="29" spans="2:8" ht="21.95" customHeight="1" thickBot="1" x14ac:dyDescent="0.25">
      <c r="B29" s="104" t="s">
        <v>48</v>
      </c>
      <c r="C29" s="105"/>
      <c r="D29" s="106"/>
      <c r="E29" s="102">
        <f>'Power of Turn'!E29</f>
        <v>500</v>
      </c>
      <c r="F29" s="52">
        <f>E29*E3</f>
        <v>36000</v>
      </c>
      <c r="G29" s="14"/>
      <c r="H29"/>
    </row>
    <row r="30" spans="2:8" ht="21.95" customHeight="1" thickBot="1" x14ac:dyDescent="0.25">
      <c r="B30" s="104" t="s">
        <v>45</v>
      </c>
      <c r="C30" s="105"/>
      <c r="D30" s="106"/>
      <c r="E30" s="102">
        <f>'Power of Turn'!E30</f>
        <v>125</v>
      </c>
      <c r="F30" s="52">
        <f>(E30*E3)+(E30*(F23-F24))</f>
        <v>12768.75</v>
      </c>
      <c r="G30" s="14"/>
      <c r="H30"/>
    </row>
    <row r="31" spans="2:8" ht="24" customHeight="1" thickBot="1" x14ac:dyDescent="0.25">
      <c r="B31" s="104" t="s">
        <v>42</v>
      </c>
      <c r="C31" s="105"/>
      <c r="D31" s="106"/>
      <c r="E31" s="102">
        <f>'Power of Turn'!E31</f>
        <v>3746</v>
      </c>
      <c r="F31" s="52">
        <f>E31*E3</f>
        <v>269712</v>
      </c>
      <c r="G31" s="14"/>
      <c r="H31"/>
    </row>
    <row r="32" spans="2:8" ht="24" customHeight="1" thickBot="1" x14ac:dyDescent="0.25">
      <c r="B32" s="104" t="s">
        <v>43</v>
      </c>
      <c r="C32" s="105"/>
      <c r="D32" s="106"/>
      <c r="E32" s="102">
        <f>'Power of Turn'!E32</f>
        <v>462</v>
      </c>
      <c r="F32" s="52">
        <f>E32*E3</f>
        <v>33264</v>
      </c>
      <c r="G32" s="14"/>
      <c r="H32"/>
    </row>
    <row r="33" spans="1:11" ht="24" customHeight="1" thickBot="1" x14ac:dyDescent="0.25">
      <c r="B33" s="110" t="s">
        <v>44</v>
      </c>
      <c r="C33" s="111"/>
      <c r="D33" s="112"/>
      <c r="E33" s="102">
        <f>'Power of Turn'!E33</f>
        <v>0</v>
      </c>
      <c r="F33" s="88">
        <f>E33*E3</f>
        <v>0</v>
      </c>
      <c r="G33" s="14"/>
      <c r="H33"/>
    </row>
    <row r="34" spans="1:11" ht="24" customHeight="1" thickBot="1" x14ac:dyDescent="0.25">
      <c r="B34" s="113" t="s">
        <v>51</v>
      </c>
      <c r="C34" s="114"/>
      <c r="D34" s="115"/>
      <c r="E34" s="100">
        <f>(F34+E13)/E3</f>
        <v>26471.989999999998</v>
      </c>
      <c r="F34" s="52">
        <f>SUM(F20,F22,F25,F26,F27:F33)</f>
        <v>695864.88</v>
      </c>
      <c r="G34" s="14"/>
      <c r="H34"/>
    </row>
    <row r="35" spans="1:11" s="18" customFormat="1" ht="30" customHeight="1" thickBot="1" x14ac:dyDescent="0.25">
      <c r="A35" s="16"/>
      <c r="B35" s="107" t="s">
        <v>28</v>
      </c>
      <c r="C35" s="108"/>
      <c r="D35" s="108"/>
      <c r="E35" s="109"/>
      <c r="F35" s="17"/>
      <c r="G35" s="17"/>
    </row>
    <row r="36" spans="1:11" ht="15" x14ac:dyDescent="0.25">
      <c r="F36" s="23"/>
      <c r="G36" s="23"/>
      <c r="I36" s="14"/>
      <c r="J36" s="14"/>
      <c r="K36" s="14"/>
    </row>
    <row r="37" spans="1:11" x14ac:dyDescent="0.2">
      <c r="B37" s="14"/>
      <c r="C37" s="14"/>
      <c r="D37" s="14"/>
      <c r="E37" s="14"/>
    </row>
    <row r="38" spans="1:11" x14ac:dyDescent="0.2">
      <c r="B38" s="14"/>
      <c r="C38" s="14"/>
      <c r="D38" s="14"/>
      <c r="E38" s="14"/>
      <c r="F38" s="14"/>
      <c r="G38" s="14"/>
      <c r="H38" s="14"/>
    </row>
    <row r="39" spans="1:11" x14ac:dyDescent="0.2">
      <c r="B39" s="14"/>
      <c r="C39" s="14"/>
      <c r="D39" s="14"/>
      <c r="E39" s="19"/>
      <c r="F39" s="14"/>
      <c r="G39" s="14"/>
      <c r="H39" s="14"/>
    </row>
    <row r="40" spans="1:11" x14ac:dyDescent="0.2">
      <c r="B40" s="14"/>
      <c r="C40" s="14"/>
      <c r="D40" s="14"/>
      <c r="E40" s="14"/>
      <c r="F40" s="14"/>
      <c r="G40" s="14"/>
      <c r="H40" s="14"/>
    </row>
    <row r="41" spans="1:11" x14ac:dyDescent="0.2">
      <c r="B41" s="14"/>
      <c r="C41" s="14"/>
      <c r="D41" s="14"/>
      <c r="E41" s="14"/>
      <c r="F41" s="14"/>
      <c r="G41" s="14"/>
      <c r="H41" s="14"/>
    </row>
    <row r="42" spans="1:11" x14ac:dyDescent="0.2">
      <c r="B42" s="14"/>
      <c r="C42" s="14"/>
      <c r="D42" s="14"/>
      <c r="E42" s="14"/>
      <c r="F42" s="14"/>
      <c r="G42" s="14"/>
      <c r="H42" s="14"/>
    </row>
    <row r="43" spans="1:11" x14ac:dyDescent="0.2">
      <c r="B43" s="14"/>
      <c r="C43" s="14"/>
      <c r="D43" s="14"/>
      <c r="E43" s="14"/>
      <c r="F43" s="14"/>
      <c r="G43" s="14"/>
      <c r="H43" s="14"/>
    </row>
    <row r="44" spans="1:11" x14ac:dyDescent="0.2">
      <c r="B44" s="14"/>
      <c r="C44" s="14"/>
      <c r="D44" s="14"/>
      <c r="E44" s="14"/>
      <c r="F44" s="14"/>
      <c r="G44" s="14"/>
      <c r="H44" s="14"/>
    </row>
    <row r="45" spans="1:11" x14ac:dyDescent="0.2">
      <c r="B45" s="14"/>
      <c r="C45" s="14"/>
      <c r="D45" s="14"/>
      <c r="E45" s="14"/>
      <c r="F45" s="14"/>
      <c r="G45" s="14"/>
      <c r="H45" s="14"/>
    </row>
    <row r="46" spans="1:11" x14ac:dyDescent="0.2">
      <c r="F46" s="14"/>
      <c r="G46" s="14"/>
      <c r="H46" s="14"/>
    </row>
  </sheetData>
  <mergeCells count="10">
    <mergeCell ref="B32:D32"/>
    <mergeCell ref="B33:D33"/>
    <mergeCell ref="B35:E35"/>
    <mergeCell ref="B34:D34"/>
    <mergeCell ref="B26:D26"/>
    <mergeCell ref="B27:D27"/>
    <mergeCell ref="B28:D28"/>
    <mergeCell ref="B29:D29"/>
    <mergeCell ref="B30:D30"/>
    <mergeCell ref="B31:D31"/>
  </mergeCells>
  <dataValidations count="1">
    <dataValidation type="whole" allowBlank="1" showInputMessage="1" showErrorMessage="1" sqref="E3:E4 E6 E9 E20 C22:C25 E26:E33" xr:uid="{31C74C30-E52C-45DE-B3C4-3EBA0107385B}">
      <formula1>0</formula1>
      <formula2>10000</formula2>
    </dataValidation>
  </dataValidations>
  <pageMargins left="0.75" right="0.75" top="1" bottom="1" header="0.5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Power of Turn</vt:lpstr>
      <vt:lpstr>NV Washout Gross Per Unit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Abrams, Les</dc:creator>
  <cp:lastModifiedBy>Angie Gustafson</cp:lastModifiedBy>
  <cp:lastPrinted>2018-02-26T14:09:45Z</cp:lastPrinted>
  <dcterms:created xsi:type="dcterms:W3CDTF">2010-11-17T18:21:58Z</dcterms:created>
  <dcterms:modified xsi:type="dcterms:W3CDTF">2020-07-15T18:05:02Z</dcterms:modified>
</cp:coreProperties>
</file>