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ustinsteves/Downloads/"/>
    </mc:Choice>
  </mc:AlternateContent>
  <xr:revisionPtr revIDLastSave="0" documentId="8_{A3DD62F8-124C-B94B-B766-67002C8EBB01}" xr6:coauthVersionLast="47" xr6:coauthVersionMax="47" xr10:uidLastSave="{00000000-0000-0000-0000-000000000000}"/>
  <bookViews>
    <workbookView xWindow="0" yWindow="760" windowWidth="29540" windowHeight="1768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N34" i="1" s="1"/>
  <c r="M35" i="1"/>
  <c r="N35" i="1" s="1"/>
  <c r="M36" i="1"/>
  <c r="N36" i="1" s="1"/>
  <c r="M37" i="1"/>
  <c r="M38" i="1"/>
  <c r="N38" i="1" s="1"/>
  <c r="M39" i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J8" i="13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32" i="1"/>
  <c r="N33" i="1"/>
  <c r="N37" i="1"/>
  <c r="N39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J9" i="13" s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S46" i="1" l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4" i="10" s="1"/>
  <c r="J4" i="13"/>
  <c r="B16" i="5"/>
  <c r="B15" i="13"/>
  <c r="B17" i="9"/>
  <c r="B16" i="11"/>
  <c r="B15" i="14"/>
  <c r="B17" i="10"/>
  <c r="B16" i="12"/>
  <c r="B17" i="6"/>
  <c r="B3" i="14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5" i="14" l="1"/>
  <c r="B4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B5" i="12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I10" i="10" l="1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<sst xmlns="http://schemas.openxmlformats.org/spreadsheetml/2006/main" count="628" uniqueCount="222">
  <si>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</si>
  <si>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</si>
  <si>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</si>
  <si>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</si>
  <si>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</si>
  <si>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</si>
  <si>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</si>
  <si>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</si>
  <si>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</si>
  <si>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</si>
  <si>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</si>
  <si>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</si>
  <si>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</si>
  <si>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</si>
  <si>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</si>
  <si>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</si>
  <si>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</si>
  <si>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</si>
  <si>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</si>
  <si>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</si>
  <si>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</si>
  <si>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</si>
  <si>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</si>
  <si>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</si>
  <si>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</si>
  <si>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</si>
  <si>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</si>
  <si>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</si>
  <si>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</si>
  <si>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</si>
  <si>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</si>
  <si>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</si>
  <si>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</si>
  <si>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</si>
  <si>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</si>
  <si>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</si>
  <si>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</si>
  <si>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</si>
  <si>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</si>
  <si>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</si>
  <si>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</si>
  <si>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</si>
  <si>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</si>
  <si>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</si>
  <si>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</si>
  <si>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</si>
  <si>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</si>
  <si>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</si>
  <si>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</si>
  <si>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</si>
  <si>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</si>
  <si>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</si>
  <si>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</si>
  <si>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</si>
  <si>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</si>
  <si>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</si>
  <si>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</si>
  <si>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</si>
  <si>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</si>
  <si>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</si>
  <si>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</si>
  <si>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</si>
  <si>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</si>
  <si>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</si>
  <si>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</si>
  <si>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</si>
  <si>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</si>
  <si>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</si>
  <si>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</si>
  <si>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</si>
  <si>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</si>
  <si>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</si>
  <si>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</si>
  <si>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</si>
  <si>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</si>
  <si>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</si>
  <si>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</si>
  <si>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</si>
  <si>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</si>
  <si>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</si>
  <si>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</si>
  <si>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</si>
  <si>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</si>
  <si>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</si>
  <si>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</si>
  <si>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</si>
  <si>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</si>
  <si>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</si>
  <si>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</si>
  <si>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</si>
  <si>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</si>
  <si>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</si>
  <si>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</si>
  <si>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</si>
  <si>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</si>
  <si>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</si>
  <si>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</si>
  <si>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</si>
  <si>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</si>
  <si>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</si>
  <si>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</si>
  <si>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</si>
  <si>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</si>
  <si>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</si>
  <si>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</si>
  <si>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</si>
  <si>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</si>
  <si>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</si>
  <si>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</si>
  <si>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</si>
  <si>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</si>
  <si>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</si>
  <si>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</si>
  <si>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</si>
  <si>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</si>
  <si>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</si>
  <si>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</si>
  <si>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</si>
  <si>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</si>
  <si>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</si>
  <si>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</si>
  <si>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</si>
  <si>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</si>
  <si>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</si>
  <si>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</si>
  <si>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</si>
  <si>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</si>
  <si>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</si>
  <si>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</si>
  <si>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</si>
  <si>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</si>
  <si>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</si>
  <si>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</si>
  <si>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</si>
  <si>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</si>
  <si>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</si>
  <si>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</si>
  <si>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</si>
  <si>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</si>
  <si>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</si>
  <si>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</si>
  <si>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</si>
  <si>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</si>
  <si>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</si>
  <si>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</si>
  <si>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</si>
  <si>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</si>
  <si>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</si>
  <si>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</si>
  <si>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</si>
  <si>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</si>
  <si>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</si>
  <si>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</si>
  <si>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</si>
  <si>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</si>
  <si>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AUSTIN STEVES</t>
  </si>
  <si>
    <t>CHEVROLET</t>
  </si>
  <si>
    <t>FERNANDO GUZMAN</t>
  </si>
  <si>
    <t>PAM COLE</t>
  </si>
  <si>
    <t>JEFF STEVES</t>
  </si>
  <si>
    <t>BRETT STEVES</t>
  </si>
  <si>
    <t>JOE MACHADO</t>
  </si>
  <si>
    <t>EFREN DE RUEDA</t>
  </si>
  <si>
    <t>ALEXIS RAMIREZ</t>
  </si>
  <si>
    <t>HECTOR MENDEZ</t>
  </si>
  <si>
    <t>TINA HUCKABEE</t>
  </si>
  <si>
    <t>ALAN BERG</t>
  </si>
  <si>
    <t>T3255P</t>
  </si>
  <si>
    <t>SAVANA VAN</t>
  </si>
  <si>
    <t>T3281P</t>
  </si>
  <si>
    <t>SILVERADO 2500</t>
  </si>
  <si>
    <t>T3272P</t>
  </si>
  <si>
    <t>SILVERADO 1500</t>
  </si>
  <si>
    <t>T3208P</t>
  </si>
  <si>
    <t>ENCLAVE</t>
  </si>
  <si>
    <t>23T0614A</t>
  </si>
  <si>
    <t>24T0078A</t>
  </si>
  <si>
    <t>EQUINOX</t>
  </si>
  <si>
    <t>24T0042A</t>
  </si>
  <si>
    <t>T3284P</t>
  </si>
  <si>
    <t>TRAILBLAZER</t>
  </si>
  <si>
    <t>T3257P</t>
  </si>
  <si>
    <t>T3288P</t>
  </si>
  <si>
    <t>23T0590A</t>
  </si>
  <si>
    <t>23T0599A</t>
  </si>
  <si>
    <t>TAHOE</t>
  </si>
  <si>
    <t>23T0179A</t>
  </si>
  <si>
    <t>24T0013A</t>
  </si>
  <si>
    <t>TACOMA</t>
  </si>
  <si>
    <t>T3273P</t>
  </si>
  <si>
    <t>COLORADO</t>
  </si>
  <si>
    <t>22C0717A</t>
  </si>
  <si>
    <t>CAMARO</t>
  </si>
  <si>
    <t>24T0083A</t>
  </si>
  <si>
    <t>24C0054A</t>
  </si>
  <si>
    <t>CAMRY</t>
  </si>
  <si>
    <t>T3287P</t>
  </si>
  <si>
    <t>SILVERADO 3500</t>
  </si>
  <si>
    <t>C3283P</t>
  </si>
  <si>
    <t>HONDA</t>
  </si>
  <si>
    <t>ACCORD</t>
  </si>
  <si>
    <t>T3241PAA</t>
  </si>
  <si>
    <t>T3297P</t>
  </si>
  <si>
    <t>YUKON  XL</t>
  </si>
  <si>
    <t>T3293P</t>
  </si>
  <si>
    <t>T3266PA</t>
  </si>
  <si>
    <t>FORD</t>
  </si>
  <si>
    <t>EXPLORER</t>
  </si>
  <si>
    <t>24T0120A</t>
  </si>
  <si>
    <t>23T0135</t>
  </si>
  <si>
    <t>24C0145A</t>
  </si>
  <si>
    <t>CRUZE</t>
  </si>
  <si>
    <t>T3297PA</t>
  </si>
  <si>
    <t>T3295P</t>
  </si>
  <si>
    <t>23T0098</t>
  </si>
  <si>
    <t>C3277P</t>
  </si>
  <si>
    <t>CORVETTE</t>
  </si>
  <si>
    <t>24T0176A</t>
  </si>
  <si>
    <t>C3253P</t>
  </si>
  <si>
    <t>BOLT EV</t>
  </si>
  <si>
    <t>MAZDA</t>
  </si>
  <si>
    <t>CX-5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</si>
</sst>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C12" sqref="C12"/>
    </sheetView>
  </sheetViews>
  <sheetFormatPr baseColWidth="10" defaultColWidth="8.83203125" defaultRowHeight="15"/>
  <cols>
    <col min="1" max="4" width="25.6640625" customWidth="1"/>
    <col min="5" max="5" width="17.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155</v>
      </c>
      <c r="B2" s="2" t="s">
        <v>155</v>
      </c>
      <c r="C2" s="2" t="s">
        <v>155</v>
      </c>
      <c r="D2" s="2" t="s">
        <v>156</v>
      </c>
      <c r="E2" s="41" t="s">
        <v>9</v>
      </c>
    </row>
    <row r="3" spans="1:5">
      <c r="A3" s="2" t="s">
        <v>157</v>
      </c>
      <c r="B3" s="2" t="s">
        <v>157</v>
      </c>
      <c r="C3" s="2" t="s">
        <v>157</v>
      </c>
      <c r="D3" s="2" t="s">
        <v>156</v>
      </c>
      <c r="E3" s="3" t="s">
        <v>12</v>
      </c>
    </row>
    <row r="4" spans="1:5">
      <c r="A4" s="2" t="s">
        <v>158</v>
      </c>
      <c r="B4" s="2" t="s">
        <v>158</v>
      </c>
      <c r="C4" s="2" t="s">
        <v>158</v>
      </c>
      <c r="D4" s="2" t="s">
        <v>156</v>
      </c>
      <c r="E4" s="3" t="s">
        <v>13</v>
      </c>
    </row>
    <row r="5" spans="1:5">
      <c r="A5" s="2"/>
      <c r="B5" s="2"/>
      <c r="C5" s="2" t="s">
        <v>159</v>
      </c>
      <c r="D5" s="2" t="s">
        <v>156</v>
      </c>
      <c r="E5" s="3" t="s">
        <v>11</v>
      </c>
    </row>
    <row r="6" spans="1:5">
      <c r="A6" s="2"/>
      <c r="B6" s="2"/>
      <c r="C6" s="2" t="s">
        <v>160</v>
      </c>
      <c r="D6" s="2" t="s">
        <v>156</v>
      </c>
      <c r="E6" s="3" t="s">
        <v>14</v>
      </c>
    </row>
    <row r="7" spans="1:5">
      <c r="A7" s="2"/>
      <c r="B7" s="2"/>
      <c r="C7" s="2" t="s">
        <v>161</v>
      </c>
      <c r="D7" s="2" t="s">
        <v>156</v>
      </c>
      <c r="E7" s="3" t="s">
        <v>15</v>
      </c>
    </row>
    <row r="8" spans="1:5">
      <c r="A8" s="2"/>
      <c r="B8" s="2"/>
      <c r="C8" s="2" t="s">
        <v>162</v>
      </c>
      <c r="D8" s="2" t="s">
        <v>156</v>
      </c>
      <c r="E8" s="3" t="s">
        <v>16</v>
      </c>
    </row>
    <row r="9" spans="1:5">
      <c r="A9" s="2"/>
      <c r="B9" s="2"/>
      <c r="C9" s="2" t="s">
        <v>163</v>
      </c>
      <c r="D9" s="2" t="s">
        <v>156</v>
      </c>
      <c r="E9" s="3" t="s">
        <v>17</v>
      </c>
    </row>
    <row r="10" spans="1:5">
      <c r="A10" s="2"/>
      <c r="B10" s="2"/>
      <c r="C10" s="2" t="s">
        <v>164</v>
      </c>
      <c r="D10" s="2" t="s">
        <v>156</v>
      </c>
      <c r="E10" s="3" t="s">
        <v>18</v>
      </c>
    </row>
    <row r="11" spans="1:5">
      <c r="A11" s="2"/>
      <c r="B11" s="2"/>
      <c r="C11" s="2" t="s">
        <v>165</v>
      </c>
      <c r="D11" s="2" t="s">
        <v>156</v>
      </c>
      <c r="E11" s="3" t="s">
        <v>19</v>
      </c>
    </row>
    <row r="12" spans="1:5">
      <c r="A12" s="2"/>
      <c r="B12" s="2"/>
      <c r="C12" s="2" t="s">
        <v>166</v>
      </c>
      <c r="D12" s="2" t="s">
        <v>156</v>
      </c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baseColWidth="10" defaultColWidth="8.83203125" defaultRowHeight="15"/>
  <cols>
    <col min="1" max="1" width="31.33203125" bestFit="1" customWidth="1"/>
    <col min="2" max="7" width="15.6640625" customWidth="1"/>
  </cols>
  <sheetData>
    <row r="1" spans="1:7" ht="22.5" customHeight="1">
      <c r="A1" s="25" t="s">
        <v>141</v>
      </c>
      <c r="B1" s="21"/>
    </row>
    <row r="2" spans="1:7" ht="22.5" customHeight="1">
      <c r="A2" s="28" t="s">
        <v>154</v>
      </c>
      <c r="B2" s="22" t="s">
        <v>143</v>
      </c>
      <c r="C2" s="32" t="s">
        <v>109</v>
      </c>
      <c r="D2" s="32" t="s">
        <v>113</v>
      </c>
      <c r="E2" s="32" t="s">
        <v>115</v>
      </c>
      <c r="F2" s="32" t="s">
        <v>116</v>
      </c>
      <c r="G2" s="32" t="s">
        <v>118</v>
      </c>
    </row>
    <row r="3" spans="1:7" ht="22.5" customHeight="1">
      <c r="A3" s="5" t="s">
        <v>127</v>
      </c>
      <c r="B3" s="6">
        <f>'Scoreboard Total'!B3</f>
        <v>34</v>
      </c>
      <c r="C3" s="6">
        <f>COUNTIF('Sales Log'!$W$14:$W$213,30)</f>
        <v>14</v>
      </c>
      <c r="D3" s="6">
        <f>COUNTIF('Sales Log'!$W$14:$W$213,45)</f>
        <v>6</v>
      </c>
      <c r="E3" s="6">
        <f>COUNTIF('Sales Log'!$W$14:$W$213,60)</f>
        <v>1</v>
      </c>
      <c r="F3" s="6">
        <f>COUNTIF('Sales Log'!$W$14:$W$213,90)</f>
        <v>4</v>
      </c>
      <c r="G3" s="6">
        <f>COUNTIF('Sales Log'!$W$14:$W$213,91)</f>
        <v>7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0.41176470588235292</v>
      </c>
      <c r="D4" s="9">
        <f>D3/'Sales Log'!$D$214</f>
        <v>0.17647058823529413</v>
      </c>
      <c r="E4" s="9">
        <f>E3/'Sales Log'!$D$214</f>
        <v>2.9411764705882353E-2</v>
      </c>
      <c r="F4" s="9">
        <f>F3/'Sales Log'!$D$214</f>
        <v>0.11764705882352941</v>
      </c>
      <c r="G4" s="9">
        <f>G3/'Sales Log'!$D$214</f>
        <v>0.20588235294117646</v>
      </c>
    </row>
    <row r="5" spans="1:7" ht="22.5" customHeight="1">
      <c r="A5" s="5" t="s">
        <v>144</v>
      </c>
      <c r="B5" s="14">
        <f>COUNTIFS('Sales Log'!$I$14:$I$213,"No")/B3</f>
        <v>0.20588235294117646</v>
      </c>
      <c r="C5" s="14">
        <f>COUNTIFS('Sales Log'!$I$14:$I$213,"No",'Sales Log'!$W$14:$W$213,30)/C3</f>
        <v>0.14285714285714285</v>
      </c>
      <c r="D5" s="14">
        <f>COUNTIFS('Sales Log'!$I$14:$I$213,"No",'Sales Log'!$W$14:$W$213,45)/D3</f>
        <v>0.16666666666666666</v>
      </c>
      <c r="E5" s="14">
        <f>COUNTIFS('Sales Log'!$I$14:$I$213,"No",'Sales Log'!$W$14:$W$213,60)/E3</f>
        <v>0</v>
      </c>
      <c r="F5" s="14">
        <f>COUNTIFS('Sales Log'!$I$14:$I$213,"No",'Sales Log'!$W$14:$W$213,90)/F3</f>
        <v>0.25</v>
      </c>
      <c r="G5" s="14">
        <f>COUNTIFS('Sales Log'!$I$14:$I$213,"No",'Sales Log'!$W$14:$W$213,91)/G3</f>
        <v>0.2857142857142857</v>
      </c>
    </row>
    <row r="6" spans="1:7" s="4" customFormat="1" ht="21.75" customHeight="1">
      <c r="A6" s="11" t="s">
        <v>128</v>
      </c>
      <c r="B6" s="7">
        <f>'Sales Log'!$F$214</f>
        <v>63.5</v>
      </c>
      <c r="C6" s="24">
        <f>AVERAGEIF('Sales Log'!$W$14:$W$213,30,'Sales Log'!$F$14:$F$213)</f>
        <v>12.928571428571429</v>
      </c>
      <c r="D6" s="24">
        <f>AVERAGEIF('Sales Log'!$W$14:$W$213,45,'Sales Log'!$F$14:$F$213)</f>
        <v>37.166666666666664</v>
      </c>
      <c r="E6" s="24">
        <f>AVERAGEIF('Sales Log'!$W$14:$W$213,60,'Sales Log'!$F$14:$F$213)</f>
        <v>54</v>
      </c>
      <c r="F6" s="24">
        <f>AVERAGEIF('Sales Log'!$W$14:$W$213,90,'Sales Log'!$F$14:$F$213)</f>
        <v>71.75</v>
      </c>
      <c r="G6" s="24">
        <f>AVERAGEIF('Sales Log'!$W$14:$W$213,91,'Sales Log'!$F$14:$F$213)</f>
        <v>202</v>
      </c>
    </row>
    <row r="7" spans="1:7" ht="22.5" customHeight="1">
      <c r="A7" s="5" t="s">
        <v>130</v>
      </c>
      <c r="B7" s="8">
        <f>'Sales Log'!$K$214</f>
        <v>41461.608529411766</v>
      </c>
      <c r="C7" s="8">
        <f>AVERAGEIF('Sales Log'!$W$14:$W$213,30,'Sales Log'!$K$14:$K$213)</f>
        <v>43845.192142857137</v>
      </c>
      <c r="D7" s="8">
        <f>AVERAGEIF('Sales Log'!$W$14:$W$213,45,'Sales Log'!$K$14:$K$213)</f>
        <v>33759</v>
      </c>
      <c r="E7" s="8">
        <f>AVERAGEIF('Sales Log'!$W$14:$W$213,60,'Sales Log'!$K$14:$K$213)</f>
        <v>82420</v>
      </c>
      <c r="F7" s="8">
        <f>AVERAGEIF('Sales Log'!$W$14:$W$213,90,'Sales Log'!$K$14:$K$213)</f>
        <v>41189.25</v>
      </c>
      <c r="G7" s="8">
        <f>AVERAGEIF('Sales Log'!$W$14:$W$213,91,'Sales Log'!$K$14:$K$213)</f>
        <v>34984.142857142855</v>
      </c>
    </row>
    <row r="8" spans="1:7" ht="22.5" customHeight="1">
      <c r="A8" s="5" t="s">
        <v>152</v>
      </c>
      <c r="B8" s="9">
        <f>'Sales Log'!$N$214</f>
        <v>0.98847530741115297</v>
      </c>
      <c r="C8" s="14">
        <f>AVERAGEIF('Sales Log'!$W$14:$W$213,30,'Sales Log'!$N14:$N$213)</f>
        <v>0.99009407274307215</v>
      </c>
      <c r="D8" s="14">
        <f>AVERAGEIF('Sales Log'!$W$14:$W$213,45,'Sales Log'!$N14:$N$213)</f>
        <v>0.98635926103164928</v>
      </c>
      <c r="E8" s="14">
        <f>AVERAGEIF('Sales Log'!$W$14:$W$213,60,'Sales Log'!$N14:$N$213)</f>
        <v>0.99372328996060644</v>
      </c>
      <c r="F8" s="14">
        <f>AVERAGEIF('Sales Log'!$W$14:$W$213,90,'Sales Log'!$N14:$N$213)</f>
        <v>1.0222388589281446</v>
      </c>
      <c r="G8" s="14">
        <f>AVERAGEIF('Sales Log'!$W$14:$W$213,91,'Sales Log'!$N14:$N$213)</f>
        <v>0.9515038480761232</v>
      </c>
    </row>
    <row r="9" spans="1:7" ht="22.5" customHeight="1">
      <c r="A9" s="5" t="s">
        <v>134</v>
      </c>
      <c r="B9" s="8">
        <f>'Sales Log'!$O$214</f>
        <v>1053.3620588235294</v>
      </c>
      <c r="C9" s="8">
        <f>AVERAGEIF('Sales Log'!$W$14:$W$213,30,'Sales Log'!$O$14:$O$213)</f>
        <v>589.23642857142841</v>
      </c>
      <c r="D9" s="8">
        <f>AVERAGEIF('Sales Log'!$W$14:$W$213,45,'Sales Log'!$O$14:$O$213)</f>
        <v>1406</v>
      </c>
      <c r="E9" s="8">
        <f>AVERAGEIF('Sales Log'!$W$14:$W$213,60,'Sales Log'!$O$14:$O$213)</f>
        <v>1350</v>
      </c>
      <c r="F9" s="8">
        <f>AVERAGEIF('Sales Log'!$W$14:$W$213,90,'Sales Log'!$O$14:$O$213)</f>
        <v>1475.75</v>
      </c>
      <c r="G9" s="8">
        <f>AVERAGEIF('Sales Log'!$W$14:$W$213,91,'Sales Log'!$O$14:$O$213)</f>
        <v>1183.2857142857142</v>
      </c>
    </row>
    <row r="10" spans="1:7" ht="22.5" customHeight="1">
      <c r="A10" s="5" t="s">
        <v>153</v>
      </c>
      <c r="B10" s="8">
        <f>'Sales Log'!$P$214</f>
        <v>2682.029705882353</v>
      </c>
      <c r="C10" s="8">
        <f>AVERAGEIF('Sales Log'!$W$14:$W$213,30,'Sales Log'!$P$14:$P$213)</f>
        <v>3592.9428571428571</v>
      </c>
      <c r="D10" s="8">
        <f>AVERAGEIF('Sales Log'!$W$14:$W$213,45,'Sales Log'!$P$14:$P$213)</f>
        <v>1962.6666666666667</v>
      </c>
      <c r="E10" s="8">
        <f>AVERAGEIF('Sales Log'!$W$14:$W$213,60,'Sales Log'!$P$14:$P$213)</f>
        <v>2496</v>
      </c>
      <c r="F10" s="8">
        <f>AVERAGEIF('Sales Log'!$W$14:$W$213,90,'Sales Log'!$P$14:$P$213)</f>
        <v>2282.665</v>
      </c>
      <c r="G10" s="8">
        <f>AVERAGEIF('Sales Log'!$W$14:$W$213,91,'Sales Log'!$P$14:$P$213)</f>
        <v>1735.45</v>
      </c>
    </row>
    <row r="11" spans="1:7" ht="22.5" customHeight="1">
      <c r="A11" s="5" t="s">
        <v>136</v>
      </c>
      <c r="B11" s="8">
        <f>'Sales Log'!$Q$214</f>
        <v>1733.799705882353</v>
      </c>
      <c r="C11" s="8">
        <f>AVERAGEIF('Sales Log'!$W$14:$W$213,30,'Sales Log'!$Q$14:$Q$213)</f>
        <v>1695.5714285714287</v>
      </c>
      <c r="D11" s="8">
        <f>AVERAGEIF('Sales Log'!$W$14:$W$213,45,'Sales Log'!$Q$14:$Q$213)</f>
        <v>1599.3333333333333</v>
      </c>
      <c r="E11" s="8">
        <f>AVERAGEIF('Sales Log'!$W$14:$W$213,60,'Sales Log'!$Q$14:$Q$213)</f>
        <v>1723</v>
      </c>
      <c r="F11" s="8">
        <f>AVERAGEIF('Sales Log'!$W$14:$W$213,90,'Sales Log'!$Q$14:$Q$213)</f>
        <v>1744.2974999999999</v>
      </c>
      <c r="G11" s="8">
        <f>AVERAGEIF('Sales Log'!$W$14:$W$213,91,'Sales Log'!$Q$14:$Q$213)</f>
        <v>1771.7142857142858</v>
      </c>
    </row>
    <row r="12" spans="1:7" ht="22.5" customHeight="1">
      <c r="A12" s="5" t="s">
        <v>137</v>
      </c>
      <c r="B12" s="8">
        <f>'Sales Log'!$R$214</f>
        <v>4415.8294117647065</v>
      </c>
      <c r="C12" s="8">
        <f>C10+C11</f>
        <v>5288.5142857142855</v>
      </c>
      <c r="D12" s="8">
        <f t="shared" ref="D12:G12" si="0">D10+D11</f>
        <v>3562</v>
      </c>
      <c r="E12" s="8">
        <f t="shared" si="0"/>
        <v>4219</v>
      </c>
      <c r="F12" s="8">
        <f t="shared" si="0"/>
        <v>4026.9624999999996</v>
      </c>
      <c r="G12" s="8">
        <f t="shared" si="0"/>
        <v>3507.1642857142861</v>
      </c>
    </row>
    <row r="13" spans="1:7" ht="21.75" customHeight="1">
      <c r="A13" s="5" t="s">
        <v>138</v>
      </c>
      <c r="B13" s="10">
        <f>B12*B3</f>
        <v>150138.20000000001</v>
      </c>
      <c r="C13" s="10">
        <f>C12*C3</f>
        <v>74039.199999999997</v>
      </c>
      <c r="D13" s="10">
        <f t="shared" ref="D13:G13" si="1">D12*D3</f>
        <v>21372</v>
      </c>
      <c r="E13" s="10">
        <f t="shared" si="1"/>
        <v>4219</v>
      </c>
      <c r="F13" s="10">
        <f t="shared" si="1"/>
        <v>16107.849999999999</v>
      </c>
      <c r="G13" s="10">
        <f t="shared" si="1"/>
        <v>24550.15</v>
      </c>
    </row>
    <row r="14" spans="1:7" ht="21.75" customHeight="1">
      <c r="A14" s="5" t="s">
        <v>92</v>
      </c>
      <c r="B14" s="9">
        <f>(B12/(B7)*(360/B6))</f>
        <v>0.6038025133303111</v>
      </c>
      <c r="C14" s="9">
        <f>(C12/(C7)*(360/C6))</f>
        <v>3.3586416228491314</v>
      </c>
      <c r="D14" s="9">
        <f t="shared" ref="D14:G14" si="2">(D12/(D7)*(360/D6))</f>
        <v>1.0220054921079342</v>
      </c>
      <c r="E14" s="9">
        <f t="shared" si="2"/>
        <v>0.34126021192267253</v>
      </c>
      <c r="F14" s="9">
        <f t="shared" si="2"/>
        <v>0.49053985302269354</v>
      </c>
      <c r="G14" s="9">
        <f t="shared" si="2"/>
        <v>0.17866356828709101</v>
      </c>
    </row>
    <row r="15" spans="1:7" ht="21.75" customHeight="1">
      <c r="A15" s="5" t="s">
        <v>139</v>
      </c>
      <c r="B15" s="9">
        <f>'Sales Log'!AA214/'Scoreboard Total'!B3</f>
        <v>0.29411764705882354</v>
      </c>
      <c r="C15" s="9">
        <f>COUNTIFS('Sales Log'!$W$14:$W$213,30,'Sales Log'!$AA$14:$AA$213,"Yes")/C$3</f>
        <v>0.21428571428571427</v>
      </c>
      <c r="D15" s="9">
        <f>COUNTIFS('Sales Log'!$W$14:$W$213,45,'Sales Log'!$AA$14:$AA$213,"Yes")/D$3</f>
        <v>0.33333333333333331</v>
      </c>
      <c r="E15" s="9">
        <f>COUNTIFS('Sales Log'!$W$14:$W$213,60,'Sales Log'!$AA$14:$AA$213,"Yes")/E$3</f>
        <v>1</v>
      </c>
      <c r="F15" s="9">
        <f>COUNTIFS('Sales Log'!$W$14:$W$213,90,'Sales Log'!$AA$14:$AA$213,"Yes")/F$3</f>
        <v>0.25</v>
      </c>
      <c r="G15" s="9">
        <f>COUNTIFS('Sales Log'!$W$14:$W$213,91,'Sales Log'!$AA$14:$AA$213,"Yes")/G$3</f>
        <v>0.2857142857142857</v>
      </c>
    </row>
    <row r="16" spans="1:7" ht="21.75" customHeight="1">
      <c r="A16" s="5" t="s">
        <v>140</v>
      </c>
      <c r="B16" s="114" t="e">
        <f>'Sales Log'!$AB$214</f>
        <v>#DIV/0!</v>
      </c>
      <c r="C16" s="114" t="e">
        <f>AVERAGEIF('Sales Log'!$W$14:$W$213,30,'Sales Log'!$AB$14:$AB$213)</f>
        <v>#DIV/0!</v>
      </c>
      <c r="D16" s="114" t="e">
        <f>AVERAGEIF('Sales Log'!$W$14:$W$213,45,'Sales Log'!$AB$14:$AB$213)</f>
        <v>#DIV/0!</v>
      </c>
      <c r="E16" s="114" t="e">
        <f>AVERAGEIF('Sales Log'!$W$14:$W$213,60,'Sales Log'!$AB$14:$AB$213)</f>
        <v>#DIV/0!</v>
      </c>
      <c r="F16" s="114" t="e">
        <f>AVERAGEIF('Sales Log'!$W$14:$W$213,90,'Sales Log'!$AB$14:$AB$213)</f>
        <v>#DIV/0!</v>
      </c>
      <c r="G16" s="114" t="e">
        <f>AVERAGEIF('Sales Log'!$W$14:$W$213,91,'Sales Log'!$AB$14:$AB$213)</f>
        <v>#DIV/0!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116" zoomScaleNormal="60" workbookViewId="0">
      <pane ySplit="13" topLeftCell="A14" activePane="bottomLeft" state="frozen"/>
      <selection pane="bottomLeft" activeCell="AA47" sqref="AA47"/>
    </sheetView>
  </sheetViews>
  <sheetFormatPr baseColWidth="10" defaultColWidth="9.1640625" defaultRowHeight="16"/>
  <cols>
    <col min="1" max="1" width="4.83203125" style="109" customWidth="1"/>
    <col min="2" max="2" width="10.5" style="109" customWidth="1"/>
    <col min="3" max="3" width="5.33203125" style="110" bestFit="1" customWidth="1"/>
    <col min="4" max="4" width="13.6640625" style="110" bestFit="1" customWidth="1"/>
    <col min="5" max="5" width="14.5" style="110" bestFit="1" customWidth="1"/>
    <col min="6" max="6" width="7.1640625" style="110" bestFit="1" customWidth="1"/>
    <col min="7" max="7" width="18.83203125" style="109" bestFit="1" customWidth="1"/>
    <col min="8" max="8" width="4.1640625" style="111" bestFit="1" customWidth="1"/>
    <col min="9" max="9" width="11" style="111" hidden="1" customWidth="1"/>
    <col min="10" max="10" width="15.5" style="51" bestFit="1" customWidth="1"/>
    <col min="11" max="11" width="11.83203125" style="51" bestFit="1" customWidth="1"/>
    <col min="12" max="12" width="15.5" style="51" customWidth="1"/>
    <col min="13" max="13" width="12.5" style="51" hidden="1" customWidth="1"/>
    <col min="14" max="14" width="13.1640625" style="51" hidden="1" customWidth="1"/>
    <col min="15" max="15" width="13.5" style="51" hidden="1" customWidth="1"/>
    <col min="16" max="16" width="9.5" style="112" bestFit="1" customWidth="1"/>
    <col min="17" max="17" width="8.5" style="112" bestFit="1" customWidth="1"/>
    <col min="18" max="18" width="9.1640625" style="51" hidden="1" customWidth="1"/>
    <col min="19" max="19" width="7.83203125" style="51" hidden="1" customWidth="1"/>
    <col min="20" max="20" width="14.5" style="51" bestFit="1" customWidth="1"/>
    <col min="21" max="21" width="13.83203125" style="51" bestFit="1" customWidth="1"/>
    <col min="22" max="22" width="16.5" style="51" bestFit="1" customWidth="1"/>
    <col min="23" max="23" width="12.1640625" style="51" hidden="1" customWidth="1"/>
    <col min="24" max="24" width="18.83203125" style="51" hidden="1" customWidth="1"/>
    <col min="25" max="25" width="7.1640625" style="51" hidden="1" customWidth="1"/>
    <col min="26" max="26" width="10.1640625" style="51" hidden="1" customWidth="1"/>
    <col min="27" max="27" width="6" style="51" bestFit="1" customWidth="1"/>
    <col min="28" max="28" width="10.1640625" style="51" customWidth="1"/>
    <col min="29" max="16384" width="9.1640625" style="51"/>
  </cols>
  <sheetData>
    <row r="1" spans="1:28" ht="21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64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5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 t="s">
        <v>106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Yes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 ht="15">
      <c r="A14" s="15">
        <v>1</v>
      </c>
      <c r="B14" s="15" t="s">
        <v>167</v>
      </c>
      <c r="C14" s="16">
        <v>2021</v>
      </c>
      <c r="D14" s="75" t="s">
        <v>19</v>
      </c>
      <c r="E14" s="16" t="s">
        <v>168</v>
      </c>
      <c r="F14" s="17">
        <v>63</v>
      </c>
      <c r="G14" s="75" t="s">
        <v>111</v>
      </c>
      <c r="H14" s="75" t="s">
        <v>110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37770</v>
      </c>
      <c r="K14" s="37">
        <v>36383</v>
      </c>
      <c r="L14" s="77">
        <v>1.0720000000000001</v>
      </c>
      <c r="M14" s="78">
        <f t="shared" ref="M14:M15" si="3">J14/L14</f>
        <v>35233.208955223876</v>
      </c>
      <c r="N14" s="79">
        <f t="shared" ref="N14:N15" si="4">K14/M14</f>
        <v>1.0326337304739213</v>
      </c>
      <c r="O14" s="80">
        <f t="shared" ref="O14:O15" si="5">IF(K14=0,"BLANK",(J14-K14))</f>
        <v>1387</v>
      </c>
      <c r="P14" s="19">
        <v>2852.66</v>
      </c>
      <c r="Q14" s="19">
        <v>2527</v>
      </c>
      <c r="R14" s="81">
        <f t="shared" ref="R14:R15" si="6">IF(K14=0,"BLANK",SUM(P14:Q14))</f>
        <v>5379.66</v>
      </c>
      <c r="S14" s="82">
        <f t="shared" ref="S14:S15" si="7">(R14/(K14-P14))*(360/F14)</f>
        <v>0.9168089045835589</v>
      </c>
      <c r="T14" s="83" t="s">
        <v>155</v>
      </c>
      <c r="U14" s="83" t="s">
        <v>155</v>
      </c>
      <c r="V14" s="83" t="s">
        <v>155</v>
      </c>
      <c r="W14" s="113">
        <f t="shared" si="2"/>
        <v>90</v>
      </c>
      <c r="X14" s="74" t="s">
        <v>112</v>
      </c>
      <c r="Y14" s="74" t="s">
        <v>110</v>
      </c>
      <c r="Z14" s="74" t="s">
        <v>113</v>
      </c>
      <c r="AA14" s="75" t="s">
        <v>106</v>
      </c>
      <c r="AB14" s="44"/>
    </row>
    <row r="15" spans="1:28" ht="15">
      <c r="A15" s="15">
        <f t="shared" ref="A15:A78" si="8">A14+1</f>
        <v>2</v>
      </c>
      <c r="B15" s="15" t="s">
        <v>169</v>
      </c>
      <c r="C15" s="16">
        <v>2018</v>
      </c>
      <c r="D15" s="75" t="s">
        <v>19</v>
      </c>
      <c r="E15" s="16" t="s">
        <v>170</v>
      </c>
      <c r="F15" s="17">
        <v>2</v>
      </c>
      <c r="G15" s="75" t="s">
        <v>122</v>
      </c>
      <c r="H15" s="75" t="s">
        <v>106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55900</v>
      </c>
      <c r="K15" s="37">
        <v>55221.69</v>
      </c>
      <c r="L15" s="35">
        <v>1.05</v>
      </c>
      <c r="M15" s="78">
        <f t="shared" si="3"/>
        <v>53238.095238095237</v>
      </c>
      <c r="N15" s="79">
        <f t="shared" si="4"/>
        <v>1.0372589355992845</v>
      </c>
      <c r="O15" s="80">
        <f t="shared" si="5"/>
        <v>678.30999999999767</v>
      </c>
      <c r="P15" s="19">
        <v>3933.2</v>
      </c>
      <c r="Q15" s="19">
        <v>0</v>
      </c>
      <c r="R15" s="81">
        <f t="shared" si="6"/>
        <v>3933.2</v>
      </c>
      <c r="S15" s="82">
        <f t="shared" si="7"/>
        <v>13.803798864033626</v>
      </c>
      <c r="T15" s="83" t="s">
        <v>166</v>
      </c>
      <c r="U15" s="83" t="s">
        <v>157</v>
      </c>
      <c r="V15" s="83" t="s">
        <v>157</v>
      </c>
      <c r="W15" s="113">
        <f t="shared" si="2"/>
        <v>30</v>
      </c>
      <c r="X15" s="74" t="s">
        <v>114</v>
      </c>
      <c r="Z15" s="74" t="s">
        <v>115</v>
      </c>
      <c r="AA15" s="75" t="s">
        <v>106</v>
      </c>
      <c r="AB15" s="44"/>
    </row>
    <row r="16" spans="1:28" ht="15">
      <c r="A16" s="15">
        <f t="shared" si="8"/>
        <v>3</v>
      </c>
      <c r="B16" s="15" t="s">
        <v>171</v>
      </c>
      <c r="C16" s="16">
        <v>2021</v>
      </c>
      <c r="D16" s="75" t="s">
        <v>19</v>
      </c>
      <c r="E16" s="16" t="s">
        <v>172</v>
      </c>
      <c r="F16" s="17">
        <v>32</v>
      </c>
      <c r="G16" s="75" t="s">
        <v>119</v>
      </c>
      <c r="H16" s="75" t="s">
        <v>110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49900</v>
      </c>
      <c r="K16" s="37">
        <v>48750</v>
      </c>
      <c r="L16" s="35">
        <v>1.01</v>
      </c>
      <c r="M16" s="78">
        <f t="shared" ref="M16:M78" si="9">J16/L16</f>
        <v>49405.940594059408</v>
      </c>
      <c r="N16" s="79">
        <f t="shared" ref="N16:N78" si="10">K16/M16</f>
        <v>0.98672344689378755</v>
      </c>
      <c r="O16" s="80">
        <f t="shared" si="0"/>
        <v>1150</v>
      </c>
      <c r="P16" s="19">
        <v>4062</v>
      </c>
      <c r="Q16" s="19">
        <v>1525</v>
      </c>
      <c r="R16" s="81">
        <f t="shared" si="1"/>
        <v>5587</v>
      </c>
      <c r="S16" s="82">
        <f t="shared" ref="S16:S78" si="11">(R16/(K16-P16))*(360/F16)</f>
        <v>1.4065017454350159</v>
      </c>
      <c r="T16" s="83" t="s">
        <v>163</v>
      </c>
      <c r="U16" s="83" t="s">
        <v>157</v>
      </c>
      <c r="V16" s="83" t="s">
        <v>157</v>
      </c>
      <c r="W16" s="113">
        <f t="shared" si="2"/>
        <v>45</v>
      </c>
      <c r="X16" s="74" t="s">
        <v>111</v>
      </c>
      <c r="Z16" s="74" t="s">
        <v>116</v>
      </c>
      <c r="AA16" s="75" t="s">
        <v>106</v>
      </c>
      <c r="AB16" s="44"/>
    </row>
    <row r="17" spans="1:28" ht="15">
      <c r="A17" s="15">
        <f t="shared" si="8"/>
        <v>4</v>
      </c>
      <c r="B17" s="15" t="s">
        <v>173</v>
      </c>
      <c r="C17" s="16">
        <v>2023</v>
      </c>
      <c r="D17" s="75" t="s">
        <v>17</v>
      </c>
      <c r="E17" s="16" t="s">
        <v>174</v>
      </c>
      <c r="F17" s="17">
        <v>172</v>
      </c>
      <c r="G17" s="75" t="s">
        <v>111</v>
      </c>
      <c r="H17" s="75" t="s">
        <v>110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49900</v>
      </c>
      <c r="K17" s="37">
        <v>48190</v>
      </c>
      <c r="L17" s="35">
        <v>1.01</v>
      </c>
      <c r="M17" s="78">
        <f t="shared" si="9"/>
        <v>49405.940594059408</v>
      </c>
      <c r="N17" s="79">
        <f t="shared" si="10"/>
        <v>0.97538877755511022</v>
      </c>
      <c r="O17" s="80">
        <f t="shared" si="0"/>
        <v>1710</v>
      </c>
      <c r="P17" s="19">
        <v>153.15</v>
      </c>
      <c r="Q17" s="19">
        <v>1297</v>
      </c>
      <c r="R17" s="81">
        <f t="shared" si="1"/>
        <v>1450.15</v>
      </c>
      <c r="S17" s="82">
        <f t="shared" si="11"/>
        <v>6.3184777403568412E-2</v>
      </c>
      <c r="T17" s="83" t="s">
        <v>164</v>
      </c>
      <c r="U17" s="83" t="s">
        <v>157</v>
      </c>
      <c r="V17" s="83" t="s">
        <v>157</v>
      </c>
      <c r="W17" s="113">
        <f t="shared" si="2"/>
        <v>91</v>
      </c>
      <c r="X17" s="74" t="s">
        <v>117</v>
      </c>
      <c r="Z17" s="74" t="s">
        <v>118</v>
      </c>
      <c r="AA17" s="75" t="s">
        <v>110</v>
      </c>
      <c r="AB17" s="44"/>
    </row>
    <row r="18" spans="1:28" ht="15">
      <c r="A18" s="15">
        <f t="shared" si="8"/>
        <v>5</v>
      </c>
      <c r="B18" s="15" t="s">
        <v>175</v>
      </c>
      <c r="C18" s="16">
        <v>2017</v>
      </c>
      <c r="D18" s="75" t="s">
        <v>19</v>
      </c>
      <c r="E18" s="16" t="s">
        <v>172</v>
      </c>
      <c r="F18" s="17">
        <v>12</v>
      </c>
      <c r="G18" s="75" t="s">
        <v>105</v>
      </c>
      <c r="H18" s="75" t="s">
        <v>110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31600</v>
      </c>
      <c r="K18" s="37">
        <v>31600</v>
      </c>
      <c r="L18" s="35">
        <v>0.99</v>
      </c>
      <c r="M18" s="78">
        <f t="shared" si="9"/>
        <v>31919.191919191919</v>
      </c>
      <c r="N18" s="79">
        <f t="shared" si="10"/>
        <v>0.99</v>
      </c>
      <c r="O18" s="80">
        <f t="shared" si="0"/>
        <v>0</v>
      </c>
      <c r="P18" s="19">
        <v>4147</v>
      </c>
      <c r="Q18" s="19">
        <v>2736</v>
      </c>
      <c r="R18" s="81">
        <f t="shared" si="1"/>
        <v>6883</v>
      </c>
      <c r="S18" s="82">
        <f t="shared" si="11"/>
        <v>7.5215823407277886</v>
      </c>
      <c r="T18" s="83" t="s">
        <v>164</v>
      </c>
      <c r="U18" s="83" t="s">
        <v>157</v>
      </c>
      <c r="V18" s="83" t="s">
        <v>157</v>
      </c>
      <c r="W18" s="113">
        <f t="shared" si="2"/>
        <v>30</v>
      </c>
      <c r="X18" s="74" t="s">
        <v>119</v>
      </c>
      <c r="AA18" s="75" t="s">
        <v>106</v>
      </c>
      <c r="AB18" s="44"/>
    </row>
    <row r="19" spans="1:28" ht="15">
      <c r="A19" s="15">
        <f t="shared" si="8"/>
        <v>6</v>
      </c>
      <c r="B19" s="15" t="s">
        <v>176</v>
      </c>
      <c r="C19" s="16">
        <v>2018</v>
      </c>
      <c r="D19" s="75" t="s">
        <v>19</v>
      </c>
      <c r="E19" s="16" t="s">
        <v>177</v>
      </c>
      <c r="F19" s="17">
        <v>29</v>
      </c>
      <c r="G19" s="75" t="s">
        <v>105</v>
      </c>
      <c r="H19" s="75" t="s">
        <v>110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>
        <v>22900</v>
      </c>
      <c r="K19" s="37">
        <v>22200</v>
      </c>
      <c r="L19" s="35">
        <v>1.1200000000000001</v>
      </c>
      <c r="M19" s="78">
        <f t="shared" si="9"/>
        <v>20446.428571428569</v>
      </c>
      <c r="N19" s="79">
        <f t="shared" si="10"/>
        <v>1.0857641921397381</v>
      </c>
      <c r="O19" s="80">
        <f t="shared" si="0"/>
        <v>700</v>
      </c>
      <c r="P19" s="19">
        <v>3198</v>
      </c>
      <c r="Q19" s="19">
        <v>2582</v>
      </c>
      <c r="R19" s="81">
        <f t="shared" si="1"/>
        <v>5780</v>
      </c>
      <c r="S19" s="82">
        <f t="shared" si="11"/>
        <v>3.7760090589375346</v>
      </c>
      <c r="T19" s="83" t="s">
        <v>165</v>
      </c>
      <c r="U19" s="83" t="s">
        <v>157</v>
      </c>
      <c r="V19" s="83" t="s">
        <v>157</v>
      </c>
      <c r="W19" s="113">
        <f t="shared" si="2"/>
        <v>30</v>
      </c>
      <c r="X19" s="74" t="s">
        <v>120</v>
      </c>
      <c r="AA19" s="75" t="s">
        <v>110</v>
      </c>
      <c r="AB19" s="44"/>
    </row>
    <row r="20" spans="1:28" ht="15">
      <c r="A20" s="15">
        <f t="shared" si="8"/>
        <v>7</v>
      </c>
      <c r="B20" s="15" t="s">
        <v>178</v>
      </c>
      <c r="C20" s="16">
        <v>2020</v>
      </c>
      <c r="D20" s="75" t="s">
        <v>19</v>
      </c>
      <c r="E20" s="16" t="s">
        <v>170</v>
      </c>
      <c r="F20" s="17">
        <v>75</v>
      </c>
      <c r="G20" s="75" t="s">
        <v>105</v>
      </c>
      <c r="H20" s="75" t="s">
        <v>106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65000</v>
      </c>
      <c r="K20" s="37">
        <v>65000</v>
      </c>
      <c r="L20" s="35">
        <v>1.04</v>
      </c>
      <c r="M20" s="78">
        <f t="shared" si="9"/>
        <v>62500</v>
      </c>
      <c r="N20" s="79">
        <f t="shared" si="10"/>
        <v>1.04</v>
      </c>
      <c r="O20" s="80">
        <f t="shared" si="0"/>
        <v>0</v>
      </c>
      <c r="P20" s="19">
        <v>4974</v>
      </c>
      <c r="Q20" s="19">
        <v>3071</v>
      </c>
      <c r="R20" s="81">
        <f t="shared" si="1"/>
        <v>8045</v>
      </c>
      <c r="S20" s="82">
        <f t="shared" si="11"/>
        <v>0.64332122746809717</v>
      </c>
      <c r="T20" s="83" t="s">
        <v>155</v>
      </c>
      <c r="U20" s="83" t="s">
        <v>155</v>
      </c>
      <c r="V20" s="83" t="s">
        <v>155</v>
      </c>
      <c r="W20" s="113">
        <f t="shared" si="2"/>
        <v>90</v>
      </c>
      <c r="X20" s="74" t="s">
        <v>121</v>
      </c>
      <c r="AA20" s="75" t="s">
        <v>110</v>
      </c>
      <c r="AB20" s="44"/>
    </row>
    <row r="21" spans="1:28" ht="15">
      <c r="A21" s="15">
        <f t="shared" si="8"/>
        <v>8</v>
      </c>
      <c r="B21" s="15" t="s">
        <v>179</v>
      </c>
      <c r="C21" s="16">
        <v>2023</v>
      </c>
      <c r="D21" s="75" t="s">
        <v>19</v>
      </c>
      <c r="E21" s="16" t="s">
        <v>170</v>
      </c>
      <c r="F21" s="17">
        <v>2</v>
      </c>
      <c r="G21" s="75" t="s">
        <v>122</v>
      </c>
      <c r="H21" s="75" t="s">
        <v>106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73995</v>
      </c>
      <c r="K21" s="37">
        <v>73395</v>
      </c>
      <c r="L21" s="35">
        <v>1.01</v>
      </c>
      <c r="M21" s="78">
        <f t="shared" si="9"/>
        <v>73262.376237623757</v>
      </c>
      <c r="N21" s="79">
        <f t="shared" si="10"/>
        <v>1.0018102574498278</v>
      </c>
      <c r="O21" s="80">
        <f t="shared" si="0"/>
        <v>600</v>
      </c>
      <c r="P21" s="19">
        <v>3976</v>
      </c>
      <c r="Q21" s="19">
        <v>984</v>
      </c>
      <c r="R21" s="81">
        <f t="shared" si="1"/>
        <v>4960</v>
      </c>
      <c r="S21" s="82">
        <f t="shared" si="11"/>
        <v>12.861032282228209</v>
      </c>
      <c r="T21" s="83" t="s">
        <v>165</v>
      </c>
      <c r="U21" s="83" t="s">
        <v>157</v>
      </c>
      <c r="V21" s="83" t="s">
        <v>158</v>
      </c>
      <c r="W21" s="113">
        <f t="shared" si="2"/>
        <v>30</v>
      </c>
      <c r="X21" s="74" t="s">
        <v>122</v>
      </c>
      <c r="AA21" s="75" t="s">
        <v>110</v>
      </c>
      <c r="AB21" s="44"/>
    </row>
    <row r="22" spans="1:28" ht="15">
      <c r="A22" s="15">
        <f t="shared" si="8"/>
        <v>9</v>
      </c>
      <c r="B22" s="15" t="s">
        <v>181</v>
      </c>
      <c r="C22" s="16">
        <v>2022</v>
      </c>
      <c r="D22" s="75" t="s">
        <v>19</v>
      </c>
      <c r="E22" s="16" t="s">
        <v>172</v>
      </c>
      <c r="F22" s="17">
        <v>79</v>
      </c>
      <c r="G22" s="75" t="s">
        <v>111</v>
      </c>
      <c r="H22" s="75" t="s">
        <v>110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33900</v>
      </c>
      <c r="K22" s="37">
        <v>31687</v>
      </c>
      <c r="L22" s="35">
        <v>1.08</v>
      </c>
      <c r="M22" s="78">
        <f t="shared" si="9"/>
        <v>31388.888888888887</v>
      </c>
      <c r="N22" s="79">
        <f t="shared" si="10"/>
        <v>1.0094973451327434</v>
      </c>
      <c r="O22" s="80">
        <f t="shared" si="0"/>
        <v>2213</v>
      </c>
      <c r="P22" s="19">
        <v>1317</v>
      </c>
      <c r="Q22" s="19">
        <v>349.19</v>
      </c>
      <c r="R22" s="81">
        <f t="shared" si="1"/>
        <v>1666.19</v>
      </c>
      <c r="S22" s="82">
        <f t="shared" si="11"/>
        <v>0.25000871112815365</v>
      </c>
      <c r="T22" s="83" t="s">
        <v>155</v>
      </c>
      <c r="U22" s="83" t="s">
        <v>155</v>
      </c>
      <c r="V22" s="83" t="s">
        <v>155</v>
      </c>
      <c r="W22" s="113">
        <f t="shared" si="2"/>
        <v>90</v>
      </c>
      <c r="AA22" s="75" t="s">
        <v>106</v>
      </c>
      <c r="AB22" s="44"/>
    </row>
    <row r="23" spans="1:28" ht="15">
      <c r="A23" s="15">
        <f t="shared" si="8"/>
        <v>10</v>
      </c>
      <c r="B23" s="15" t="s">
        <v>182</v>
      </c>
      <c r="C23" s="16">
        <v>2022</v>
      </c>
      <c r="D23" s="75" t="s">
        <v>19</v>
      </c>
      <c r="E23" s="16" t="s">
        <v>177</v>
      </c>
      <c r="F23" s="17">
        <v>0</v>
      </c>
      <c r="G23" s="75" t="s">
        <v>114</v>
      </c>
      <c r="H23" s="75" t="s">
        <v>106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26845</v>
      </c>
      <c r="K23" s="37">
        <v>26845</v>
      </c>
      <c r="L23" s="35">
        <v>0.97</v>
      </c>
      <c r="M23" s="78">
        <f t="shared" si="9"/>
        <v>27675.257731958765</v>
      </c>
      <c r="N23" s="79">
        <f t="shared" si="10"/>
        <v>0.96999999999999986</v>
      </c>
      <c r="O23" s="80">
        <f t="shared" si="0"/>
        <v>0</v>
      </c>
      <c r="P23" s="19">
        <v>3240</v>
      </c>
      <c r="Q23" s="19">
        <v>1525</v>
      </c>
      <c r="R23" s="81">
        <f t="shared" si="1"/>
        <v>4765</v>
      </c>
      <c r="S23" s="82" t="e">
        <f t="shared" si="11"/>
        <v>#DIV/0!</v>
      </c>
      <c r="T23" s="83" t="s">
        <v>164</v>
      </c>
      <c r="U23" s="83" t="s">
        <v>158</v>
      </c>
      <c r="V23" s="83" t="s">
        <v>158</v>
      </c>
      <c r="W23" s="113">
        <f t="shared" si="2"/>
        <v>0</v>
      </c>
      <c r="AA23" s="75" t="s">
        <v>106</v>
      </c>
      <c r="AB23" s="44"/>
    </row>
    <row r="24" spans="1:28" ht="15">
      <c r="A24" s="15">
        <f t="shared" si="8"/>
        <v>11</v>
      </c>
      <c r="B24" s="15" t="s">
        <v>183</v>
      </c>
      <c r="C24" s="16">
        <v>2023</v>
      </c>
      <c r="D24" s="75" t="s">
        <v>19</v>
      </c>
      <c r="E24" s="16" t="s">
        <v>180</v>
      </c>
      <c r="F24" s="17">
        <v>35</v>
      </c>
      <c r="G24" s="75" t="s">
        <v>105</v>
      </c>
      <c r="H24" s="75" t="s">
        <v>110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26990</v>
      </c>
      <c r="K24" s="37">
        <v>24990</v>
      </c>
      <c r="L24" s="35">
        <v>1.05</v>
      </c>
      <c r="M24" s="78">
        <f t="shared" si="9"/>
        <v>25704.761904761905</v>
      </c>
      <c r="N24" s="79">
        <f t="shared" si="10"/>
        <v>0.97219340496480178</v>
      </c>
      <c r="O24" s="80">
        <f t="shared" si="0"/>
        <v>2000</v>
      </c>
      <c r="P24" s="19">
        <v>1548</v>
      </c>
      <c r="Q24" s="19">
        <v>138</v>
      </c>
      <c r="R24" s="81">
        <f t="shared" si="1"/>
        <v>1686</v>
      </c>
      <c r="S24" s="82">
        <f t="shared" si="11"/>
        <v>0.73977110680463642</v>
      </c>
      <c r="T24" s="83" t="s">
        <v>165</v>
      </c>
      <c r="U24" s="83" t="s">
        <v>155</v>
      </c>
      <c r="V24" s="83" t="s">
        <v>155</v>
      </c>
      <c r="W24" s="113">
        <f t="shared" si="2"/>
        <v>45</v>
      </c>
      <c r="AA24" s="75" t="s">
        <v>106</v>
      </c>
      <c r="AB24" s="44"/>
    </row>
    <row r="25" spans="1:28" ht="15">
      <c r="A25" s="15">
        <f t="shared" si="8"/>
        <v>12</v>
      </c>
      <c r="B25" s="15" t="s">
        <v>184</v>
      </c>
      <c r="C25" s="16">
        <v>2021</v>
      </c>
      <c r="D25" s="75" t="s">
        <v>19</v>
      </c>
      <c r="E25" s="16" t="s">
        <v>185</v>
      </c>
      <c r="F25" s="17">
        <v>20</v>
      </c>
      <c r="G25" s="75" t="s">
        <v>105</v>
      </c>
      <c r="H25" s="75" t="s">
        <v>110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61220</v>
      </c>
      <c r="K25" s="37">
        <v>60720</v>
      </c>
      <c r="L25" s="35">
        <v>1</v>
      </c>
      <c r="M25" s="78">
        <f t="shared" si="9"/>
        <v>61220</v>
      </c>
      <c r="N25" s="79">
        <f t="shared" si="10"/>
        <v>0.99183273440052266</v>
      </c>
      <c r="O25" s="80">
        <f t="shared" si="0"/>
        <v>500</v>
      </c>
      <c r="P25" s="19">
        <v>3673</v>
      </c>
      <c r="Q25" s="19">
        <v>3547</v>
      </c>
      <c r="R25" s="81">
        <f t="shared" si="1"/>
        <v>7220</v>
      </c>
      <c r="S25" s="82">
        <f t="shared" si="11"/>
        <v>2.2781215488982771</v>
      </c>
      <c r="T25" s="83" t="s">
        <v>164</v>
      </c>
      <c r="U25" s="83" t="s">
        <v>155</v>
      </c>
      <c r="V25" s="83" t="s">
        <v>157</v>
      </c>
      <c r="W25" s="113">
        <f t="shared" si="2"/>
        <v>30</v>
      </c>
      <c r="AA25" s="75" t="s">
        <v>106</v>
      </c>
      <c r="AB25" s="44"/>
    </row>
    <row r="26" spans="1:28" ht="15">
      <c r="A26" s="15">
        <f t="shared" si="8"/>
        <v>13</v>
      </c>
      <c r="B26" s="15" t="s">
        <v>186</v>
      </c>
      <c r="C26" s="16">
        <v>2021</v>
      </c>
      <c r="D26" s="75" t="s">
        <v>19</v>
      </c>
      <c r="E26" s="16" t="s">
        <v>180</v>
      </c>
      <c r="F26" s="17">
        <v>42</v>
      </c>
      <c r="G26" s="75" t="s">
        <v>105</v>
      </c>
      <c r="H26" s="75" t="s">
        <v>110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24400</v>
      </c>
      <c r="K26" s="37">
        <v>22600</v>
      </c>
      <c r="L26" s="35">
        <v>1.06</v>
      </c>
      <c r="M26" s="78">
        <f t="shared" si="9"/>
        <v>23018.867924528302</v>
      </c>
      <c r="N26" s="79">
        <f t="shared" si="10"/>
        <v>0.98180327868852457</v>
      </c>
      <c r="O26" s="80">
        <f t="shared" si="0"/>
        <v>1800</v>
      </c>
      <c r="P26" s="19">
        <v>733</v>
      </c>
      <c r="Q26" s="19">
        <v>1125</v>
      </c>
      <c r="R26" s="81">
        <f t="shared" si="1"/>
        <v>1858</v>
      </c>
      <c r="S26" s="82">
        <f t="shared" si="11"/>
        <v>0.72829900241067747</v>
      </c>
      <c r="T26" s="83" t="s">
        <v>163</v>
      </c>
      <c r="U26" s="83" t="s">
        <v>157</v>
      </c>
      <c r="V26" s="83" t="s">
        <v>157</v>
      </c>
      <c r="W26" s="113">
        <f t="shared" si="2"/>
        <v>45</v>
      </c>
      <c r="AA26" s="75" t="s">
        <v>110</v>
      </c>
      <c r="AB26" s="44"/>
    </row>
    <row r="27" spans="1:28" ht="15">
      <c r="A27" s="15">
        <f t="shared" si="8"/>
        <v>14</v>
      </c>
      <c r="B27" s="15" t="s">
        <v>187</v>
      </c>
      <c r="C27" s="16">
        <v>2022</v>
      </c>
      <c r="D27" s="75" t="s">
        <v>56</v>
      </c>
      <c r="E27" s="16" t="s">
        <v>188</v>
      </c>
      <c r="F27" s="17">
        <v>162</v>
      </c>
      <c r="G27" s="75" t="s">
        <v>105</v>
      </c>
      <c r="H27" s="75" t="s">
        <v>106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43500</v>
      </c>
      <c r="K27" s="37">
        <v>43000</v>
      </c>
      <c r="L27" s="35">
        <v>1.02</v>
      </c>
      <c r="M27" s="78">
        <f t="shared" si="9"/>
        <v>42647.058823529413</v>
      </c>
      <c r="N27" s="79">
        <f t="shared" si="10"/>
        <v>1.0082758620689656</v>
      </c>
      <c r="O27" s="80">
        <f t="shared" si="0"/>
        <v>500</v>
      </c>
      <c r="P27" s="19">
        <v>2815</v>
      </c>
      <c r="Q27" s="19">
        <v>2097</v>
      </c>
      <c r="R27" s="81">
        <f t="shared" si="1"/>
        <v>4912</v>
      </c>
      <c r="S27" s="82">
        <f t="shared" si="11"/>
        <v>0.27163258816860908</v>
      </c>
      <c r="T27" s="83" t="s">
        <v>163</v>
      </c>
      <c r="U27" s="83" t="s">
        <v>157</v>
      </c>
      <c r="V27" s="83" t="s">
        <v>157</v>
      </c>
      <c r="W27" s="113">
        <f t="shared" si="2"/>
        <v>91</v>
      </c>
      <c r="AA27" s="75" t="s">
        <v>106</v>
      </c>
      <c r="AB27" s="44"/>
    </row>
    <row r="28" spans="1:28" ht="15">
      <c r="A28" s="15">
        <f t="shared" si="8"/>
        <v>15</v>
      </c>
      <c r="B28" s="15" t="s">
        <v>189</v>
      </c>
      <c r="C28" s="16">
        <v>2020</v>
      </c>
      <c r="D28" s="75" t="s">
        <v>19</v>
      </c>
      <c r="E28" s="16" t="s">
        <v>190</v>
      </c>
      <c r="F28" s="17">
        <v>43</v>
      </c>
      <c r="G28" s="75" t="s">
        <v>114</v>
      </c>
      <c r="H28" s="75" t="s">
        <v>106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33900</v>
      </c>
      <c r="K28" s="37">
        <v>33000</v>
      </c>
      <c r="L28" s="35">
        <v>1.06</v>
      </c>
      <c r="M28" s="78">
        <f t="shared" si="9"/>
        <v>31981.132075471698</v>
      </c>
      <c r="N28" s="79">
        <f t="shared" si="10"/>
        <v>1.0318584070796459</v>
      </c>
      <c r="O28" s="80">
        <f t="shared" si="0"/>
        <v>900</v>
      </c>
      <c r="P28" s="19">
        <v>1247</v>
      </c>
      <c r="Q28" s="19">
        <v>3371</v>
      </c>
      <c r="R28" s="81">
        <f t="shared" si="1"/>
        <v>4618</v>
      </c>
      <c r="S28" s="82">
        <f t="shared" si="11"/>
        <v>1.2175959934933818</v>
      </c>
      <c r="T28" s="83" t="s">
        <v>165</v>
      </c>
      <c r="U28" s="83" t="s">
        <v>157</v>
      </c>
      <c r="V28" s="83" t="s">
        <v>157</v>
      </c>
      <c r="W28" s="113">
        <f t="shared" si="2"/>
        <v>45</v>
      </c>
      <c r="AA28" s="75" t="s">
        <v>110</v>
      </c>
      <c r="AB28" s="44"/>
    </row>
    <row r="29" spans="1:28" ht="15">
      <c r="A29" s="15">
        <f t="shared" si="8"/>
        <v>16</v>
      </c>
      <c r="B29" s="15" t="s">
        <v>191</v>
      </c>
      <c r="C29" s="16">
        <v>2021</v>
      </c>
      <c r="D29" s="75" t="s">
        <v>19</v>
      </c>
      <c r="E29" s="16" t="s">
        <v>192</v>
      </c>
      <c r="F29" s="17">
        <v>206</v>
      </c>
      <c r="G29" s="75" t="s">
        <v>105</v>
      </c>
      <c r="H29" s="75" t="s">
        <v>106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34122</v>
      </c>
      <c r="K29" s="37">
        <v>30880</v>
      </c>
      <c r="L29" s="35">
        <v>1</v>
      </c>
      <c r="M29" s="78">
        <f t="shared" si="9"/>
        <v>34122</v>
      </c>
      <c r="N29" s="79">
        <f t="shared" si="10"/>
        <v>0.90498798429165939</v>
      </c>
      <c r="O29" s="80">
        <f t="shared" si="0"/>
        <v>3242</v>
      </c>
      <c r="P29" s="19">
        <v>3127</v>
      </c>
      <c r="Q29" s="19">
        <v>3899</v>
      </c>
      <c r="R29" s="81">
        <f t="shared" si="1"/>
        <v>7026</v>
      </c>
      <c r="S29" s="82">
        <f t="shared" si="11"/>
        <v>0.44241871516382902</v>
      </c>
      <c r="T29" s="83" t="s">
        <v>165</v>
      </c>
      <c r="U29" s="83" t="s">
        <v>157</v>
      </c>
      <c r="V29" s="83" t="s">
        <v>157</v>
      </c>
      <c r="W29" s="113">
        <f t="shared" si="2"/>
        <v>91</v>
      </c>
      <c r="AA29" s="75" t="s">
        <v>106</v>
      </c>
      <c r="AB29" s="44"/>
    </row>
    <row r="30" spans="1:28" ht="15">
      <c r="A30" s="15">
        <f t="shared" si="8"/>
        <v>17</v>
      </c>
      <c r="B30" s="15" t="s">
        <v>193</v>
      </c>
      <c r="C30" s="16">
        <v>2020</v>
      </c>
      <c r="D30" s="75" t="s">
        <v>19</v>
      </c>
      <c r="E30" s="16" t="s">
        <v>172</v>
      </c>
      <c r="F30" s="17">
        <v>34</v>
      </c>
      <c r="G30" s="75" t="s">
        <v>105</v>
      </c>
      <c r="H30" s="75" t="s">
        <v>110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51900</v>
      </c>
      <c r="K30" s="37">
        <v>50400</v>
      </c>
      <c r="L30" s="35">
        <v>1.05</v>
      </c>
      <c r="M30" s="78">
        <f t="shared" si="9"/>
        <v>49428.571428571428</v>
      </c>
      <c r="N30" s="79">
        <f t="shared" si="10"/>
        <v>1.0196531791907515</v>
      </c>
      <c r="O30" s="80">
        <f t="shared" si="0"/>
        <v>1500</v>
      </c>
      <c r="P30" s="19">
        <v>-82</v>
      </c>
      <c r="Q30" s="19">
        <v>1525</v>
      </c>
      <c r="R30" s="81">
        <f t="shared" si="1"/>
        <v>1443</v>
      </c>
      <c r="S30" s="82">
        <f t="shared" si="11"/>
        <v>0.30265883937664445</v>
      </c>
      <c r="T30" s="83" t="s">
        <v>165</v>
      </c>
      <c r="U30" s="83" t="s">
        <v>157</v>
      </c>
      <c r="V30" s="83" t="s">
        <v>157</v>
      </c>
      <c r="W30" s="113">
        <f t="shared" si="2"/>
        <v>45</v>
      </c>
      <c r="AA30" s="75" t="s">
        <v>106</v>
      </c>
      <c r="AB30" s="44"/>
    </row>
    <row r="31" spans="1:28" ht="15">
      <c r="A31" s="15">
        <f t="shared" si="8"/>
        <v>18</v>
      </c>
      <c r="B31" s="15" t="s">
        <v>194</v>
      </c>
      <c r="C31" s="16">
        <v>2021</v>
      </c>
      <c r="D31" s="75" t="s">
        <v>56</v>
      </c>
      <c r="E31" s="16" t="s">
        <v>195</v>
      </c>
      <c r="F31" s="17">
        <v>11</v>
      </c>
      <c r="G31" s="75" t="s">
        <v>105</v>
      </c>
      <c r="H31" s="75" t="s">
        <v>110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24900</v>
      </c>
      <c r="K31" s="37">
        <v>24390</v>
      </c>
      <c r="L31" s="35">
        <v>1.02</v>
      </c>
      <c r="M31" s="78">
        <f t="shared" si="9"/>
        <v>24411.764705882353</v>
      </c>
      <c r="N31" s="79">
        <f t="shared" si="10"/>
        <v>0.99910843373493974</v>
      </c>
      <c r="O31" s="80">
        <f t="shared" si="0"/>
        <v>510</v>
      </c>
      <c r="P31" s="19">
        <v>1877</v>
      </c>
      <c r="Q31" s="19">
        <v>3409</v>
      </c>
      <c r="R31" s="81">
        <f t="shared" si="1"/>
        <v>5286</v>
      </c>
      <c r="S31" s="82">
        <f t="shared" si="11"/>
        <v>7.6842874621935602</v>
      </c>
      <c r="T31" s="83" t="s">
        <v>163</v>
      </c>
      <c r="U31" s="83" t="s">
        <v>157</v>
      </c>
      <c r="V31" s="83" t="s">
        <v>157</v>
      </c>
      <c r="W31" s="113">
        <f t="shared" si="2"/>
        <v>30</v>
      </c>
      <c r="AA31" s="75" t="s">
        <v>106</v>
      </c>
      <c r="AB31" s="44"/>
    </row>
    <row r="32" spans="1:28" ht="15">
      <c r="A32" s="15">
        <f t="shared" si="8"/>
        <v>19</v>
      </c>
      <c r="B32" s="15" t="s">
        <v>196</v>
      </c>
      <c r="C32" s="16">
        <v>2020</v>
      </c>
      <c r="D32" s="75" t="s">
        <v>156</v>
      </c>
      <c r="E32" s="16" t="s">
        <v>197</v>
      </c>
      <c r="F32" s="17">
        <v>16</v>
      </c>
      <c r="G32" s="75" t="s">
        <v>105</v>
      </c>
      <c r="H32" s="75" t="s">
        <v>106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67890</v>
      </c>
      <c r="K32" s="37">
        <v>67890</v>
      </c>
      <c r="L32" s="35">
        <v>1.02</v>
      </c>
      <c r="M32" s="78">
        <f t="shared" si="9"/>
        <v>66558.823529411762</v>
      </c>
      <c r="N32" s="79">
        <f t="shared" si="10"/>
        <v>1.02</v>
      </c>
      <c r="O32" s="80">
        <f t="shared" si="0"/>
        <v>0</v>
      </c>
      <c r="P32" s="19">
        <v>4615</v>
      </c>
      <c r="Q32" s="19">
        <v>3935</v>
      </c>
      <c r="R32" s="81">
        <f t="shared" si="1"/>
        <v>8550</v>
      </c>
      <c r="S32" s="82">
        <f t="shared" si="11"/>
        <v>3.0403002765705258</v>
      </c>
      <c r="T32" s="83" t="s">
        <v>162</v>
      </c>
      <c r="U32" s="83" t="s">
        <v>157</v>
      </c>
      <c r="V32" s="83" t="s">
        <v>157</v>
      </c>
      <c r="W32" s="113">
        <f t="shared" si="2"/>
        <v>30</v>
      </c>
      <c r="AA32" s="75" t="s">
        <v>106</v>
      </c>
      <c r="AB32" s="44"/>
    </row>
    <row r="33" spans="1:28" ht="15">
      <c r="A33" s="15">
        <f t="shared" si="8"/>
        <v>20</v>
      </c>
      <c r="B33" s="15" t="s">
        <v>198</v>
      </c>
      <c r="C33" s="16">
        <v>2014</v>
      </c>
      <c r="D33" s="75" t="s">
        <v>199</v>
      </c>
      <c r="E33" s="16" t="s">
        <v>200</v>
      </c>
      <c r="F33" s="17">
        <v>21</v>
      </c>
      <c r="G33" s="75" t="s">
        <v>114</v>
      </c>
      <c r="H33" s="75" t="s">
        <v>110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18777</v>
      </c>
      <c r="K33" s="37">
        <v>18777</v>
      </c>
      <c r="L33" s="35">
        <v>0.95</v>
      </c>
      <c r="M33" s="78">
        <f t="shared" si="9"/>
        <v>19765.263157894737</v>
      </c>
      <c r="N33" s="79">
        <f t="shared" si="10"/>
        <v>0.95</v>
      </c>
      <c r="O33" s="80">
        <f t="shared" si="0"/>
        <v>0</v>
      </c>
      <c r="P33" s="19">
        <v>1997</v>
      </c>
      <c r="Q33" s="19">
        <v>1599</v>
      </c>
      <c r="R33" s="81">
        <f t="shared" si="1"/>
        <v>3596</v>
      </c>
      <c r="S33" s="82">
        <f t="shared" si="11"/>
        <v>3.673761280435893</v>
      </c>
      <c r="T33" s="83" t="s">
        <v>164</v>
      </c>
      <c r="U33" s="83" t="s">
        <v>157</v>
      </c>
      <c r="V33" s="83" t="s">
        <v>157</v>
      </c>
      <c r="W33" s="113">
        <f t="shared" si="2"/>
        <v>30</v>
      </c>
      <c r="AA33" s="75" t="s">
        <v>106</v>
      </c>
      <c r="AB33" s="44"/>
    </row>
    <row r="34" spans="1:28" ht="15">
      <c r="A34" s="15">
        <f t="shared" si="8"/>
        <v>21</v>
      </c>
      <c r="B34" s="15" t="s">
        <v>201</v>
      </c>
      <c r="C34" s="16">
        <v>2014</v>
      </c>
      <c r="D34" s="75" t="s">
        <v>19</v>
      </c>
      <c r="E34" s="16" t="s">
        <v>172</v>
      </c>
      <c r="F34" s="17">
        <v>95</v>
      </c>
      <c r="G34" s="75" t="s">
        <v>112</v>
      </c>
      <c r="H34" s="75" t="s">
        <v>110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28900</v>
      </c>
      <c r="K34" s="37">
        <v>28900</v>
      </c>
      <c r="L34" s="35">
        <v>0.91</v>
      </c>
      <c r="M34" s="78">
        <f t="shared" si="9"/>
        <v>31758.241758241758</v>
      </c>
      <c r="N34" s="79">
        <f t="shared" si="10"/>
        <v>0.91</v>
      </c>
      <c r="O34" s="80">
        <f t="shared" si="0"/>
        <v>0</v>
      </c>
      <c r="P34" s="19">
        <v>3012</v>
      </c>
      <c r="Q34" s="19">
        <v>2162</v>
      </c>
      <c r="R34" s="81">
        <f t="shared" si="1"/>
        <v>5174</v>
      </c>
      <c r="S34" s="82">
        <f t="shared" si="11"/>
        <v>0.75736777047687198</v>
      </c>
      <c r="T34" s="83" t="s">
        <v>163</v>
      </c>
      <c r="U34" s="83" t="s">
        <v>158</v>
      </c>
      <c r="V34" s="83" t="s">
        <v>158</v>
      </c>
      <c r="W34" s="113">
        <f t="shared" si="2"/>
        <v>91</v>
      </c>
      <c r="AA34" s="75" t="s">
        <v>106</v>
      </c>
      <c r="AB34" s="44"/>
    </row>
    <row r="35" spans="1:28" ht="15">
      <c r="A35" s="15">
        <f t="shared" si="8"/>
        <v>22</v>
      </c>
      <c r="B35" s="15" t="s">
        <v>202</v>
      </c>
      <c r="C35" s="16">
        <v>2022</v>
      </c>
      <c r="D35" s="75" t="s">
        <v>25</v>
      </c>
      <c r="E35" s="16" t="s">
        <v>203</v>
      </c>
      <c r="F35" s="17">
        <v>0</v>
      </c>
      <c r="G35" s="75" t="s">
        <v>122</v>
      </c>
      <c r="H35" s="75" t="s">
        <v>106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77990</v>
      </c>
      <c r="K35" s="37">
        <v>74397</v>
      </c>
      <c r="L35" s="35">
        <v>1.06</v>
      </c>
      <c r="M35" s="78">
        <f t="shared" si="9"/>
        <v>73575.471698113208</v>
      </c>
      <c r="N35" s="79">
        <f t="shared" si="10"/>
        <v>1.0111657904859597</v>
      </c>
      <c r="O35" s="80">
        <f t="shared" si="0"/>
        <v>3593</v>
      </c>
      <c r="P35" s="19">
        <v>2097</v>
      </c>
      <c r="Q35" s="19">
        <v>2988</v>
      </c>
      <c r="R35" s="81">
        <f t="shared" si="1"/>
        <v>5085</v>
      </c>
      <c r="S35" s="82" t="e">
        <f t="shared" si="11"/>
        <v>#DIV/0!</v>
      </c>
      <c r="T35" s="83" t="s">
        <v>157</v>
      </c>
      <c r="U35" s="83" t="s">
        <v>157</v>
      </c>
      <c r="V35" s="83" t="s">
        <v>157</v>
      </c>
      <c r="W35" s="113">
        <f t="shared" si="2"/>
        <v>0</v>
      </c>
      <c r="AA35" s="75" t="s">
        <v>110</v>
      </c>
      <c r="AB35" s="44"/>
    </row>
    <row r="36" spans="1:28" ht="15">
      <c r="A36" s="15">
        <f t="shared" si="8"/>
        <v>23</v>
      </c>
      <c r="B36" s="15" t="s">
        <v>204</v>
      </c>
      <c r="C36" s="16">
        <v>2021</v>
      </c>
      <c r="D36" s="75" t="s">
        <v>19</v>
      </c>
      <c r="E36" s="16" t="s">
        <v>170</v>
      </c>
      <c r="F36" s="17">
        <v>8</v>
      </c>
      <c r="G36" s="75" t="s">
        <v>114</v>
      </c>
      <c r="H36" s="75" t="s">
        <v>106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55900</v>
      </c>
      <c r="K36" s="37">
        <v>54900</v>
      </c>
      <c r="L36" s="35">
        <v>0.94</v>
      </c>
      <c r="M36" s="78">
        <f t="shared" si="9"/>
        <v>59468.085106382983</v>
      </c>
      <c r="N36" s="79">
        <f t="shared" si="10"/>
        <v>0.92318425760286216</v>
      </c>
      <c r="O36" s="80">
        <f t="shared" si="0"/>
        <v>1000</v>
      </c>
      <c r="P36" s="19">
        <v>2883</v>
      </c>
      <c r="Q36" s="19">
        <v>1919</v>
      </c>
      <c r="R36" s="81">
        <f t="shared" si="1"/>
        <v>4802</v>
      </c>
      <c r="S36" s="82">
        <f t="shared" si="11"/>
        <v>4.1542188130803392</v>
      </c>
      <c r="T36" s="83" t="s">
        <v>166</v>
      </c>
      <c r="U36" s="83" t="s">
        <v>155</v>
      </c>
      <c r="V36" s="83" t="s">
        <v>155</v>
      </c>
      <c r="W36" s="113">
        <f t="shared" si="2"/>
        <v>30</v>
      </c>
      <c r="AA36" s="75" t="s">
        <v>106</v>
      </c>
      <c r="AB36" s="44"/>
    </row>
    <row r="37" spans="1:28" ht="15">
      <c r="A37" s="15">
        <f t="shared" si="8"/>
        <v>24</v>
      </c>
      <c r="B37" s="15" t="s">
        <v>205</v>
      </c>
      <c r="C37" s="16">
        <v>2019</v>
      </c>
      <c r="D37" s="75" t="s">
        <v>206</v>
      </c>
      <c r="E37" s="16" t="s">
        <v>207</v>
      </c>
      <c r="F37" s="17">
        <v>37</v>
      </c>
      <c r="G37" s="75" t="s">
        <v>112</v>
      </c>
      <c r="H37" s="75" t="s">
        <v>110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23900</v>
      </c>
      <c r="K37" s="37">
        <v>22814</v>
      </c>
      <c r="L37" s="35">
        <v>0.97</v>
      </c>
      <c r="M37" s="78">
        <f t="shared" si="9"/>
        <v>24639.17525773196</v>
      </c>
      <c r="N37" s="79">
        <f t="shared" si="10"/>
        <v>0.92592384937238492</v>
      </c>
      <c r="O37" s="80">
        <f t="shared" si="0"/>
        <v>1086</v>
      </c>
      <c r="P37" s="19">
        <v>4268</v>
      </c>
      <c r="Q37" s="19">
        <v>1912</v>
      </c>
      <c r="R37" s="81">
        <f t="shared" si="1"/>
        <v>6180</v>
      </c>
      <c r="S37" s="82">
        <f t="shared" si="11"/>
        <v>3.2421939895249503</v>
      </c>
      <c r="T37" s="83" t="s">
        <v>162</v>
      </c>
      <c r="U37" s="83" t="s">
        <v>157</v>
      </c>
      <c r="V37" s="83" t="s">
        <v>157</v>
      </c>
      <c r="W37" s="113">
        <f t="shared" si="2"/>
        <v>45</v>
      </c>
      <c r="AA37" s="75" t="s">
        <v>106</v>
      </c>
      <c r="AB37" s="44"/>
    </row>
    <row r="38" spans="1:28" ht="15">
      <c r="A38" s="15">
        <f t="shared" si="8"/>
        <v>25</v>
      </c>
      <c r="B38" s="15" t="s">
        <v>208</v>
      </c>
      <c r="C38" s="16">
        <v>2015</v>
      </c>
      <c r="D38" s="75" t="s">
        <v>19</v>
      </c>
      <c r="E38" s="16" t="s">
        <v>170</v>
      </c>
      <c r="F38" s="17">
        <v>11</v>
      </c>
      <c r="G38" s="75" t="s">
        <v>105</v>
      </c>
      <c r="H38" s="75" t="s">
        <v>110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52900</v>
      </c>
      <c r="K38" s="37">
        <v>52230</v>
      </c>
      <c r="L38" s="35">
        <v>0.94</v>
      </c>
      <c r="M38" s="78">
        <f t="shared" si="9"/>
        <v>56276.595744680853</v>
      </c>
      <c r="N38" s="79">
        <f t="shared" si="10"/>
        <v>0.92809451795841202</v>
      </c>
      <c r="O38" s="80">
        <f t="shared" si="0"/>
        <v>670</v>
      </c>
      <c r="P38" s="19">
        <v>5189</v>
      </c>
      <c r="Q38" s="19">
        <v>250</v>
      </c>
      <c r="R38" s="81">
        <f t="shared" si="1"/>
        <v>5439</v>
      </c>
      <c r="S38" s="82">
        <f t="shared" si="11"/>
        <v>3.784010466691532</v>
      </c>
      <c r="T38" s="83" t="s">
        <v>164</v>
      </c>
      <c r="U38" s="83" t="s">
        <v>157</v>
      </c>
      <c r="V38" s="83" t="s">
        <v>158</v>
      </c>
      <c r="W38" s="113">
        <f t="shared" si="2"/>
        <v>30</v>
      </c>
      <c r="AA38" s="75" t="s">
        <v>106</v>
      </c>
      <c r="AB38" s="44"/>
    </row>
    <row r="39" spans="1:28" ht="15">
      <c r="A39" s="15">
        <f t="shared" si="8"/>
        <v>26</v>
      </c>
      <c r="B39" s="15" t="s">
        <v>209</v>
      </c>
      <c r="C39" s="16">
        <v>2023</v>
      </c>
      <c r="D39" s="75" t="s">
        <v>19</v>
      </c>
      <c r="E39" s="16" t="s">
        <v>177</v>
      </c>
      <c r="F39" s="17">
        <v>315</v>
      </c>
      <c r="G39" s="75" t="s">
        <v>117</v>
      </c>
      <c r="H39" s="75" t="s">
        <v>110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29870</v>
      </c>
      <c r="K39" s="37">
        <v>27750</v>
      </c>
      <c r="L39" s="35">
        <v>0.98</v>
      </c>
      <c r="M39" s="78">
        <f t="shared" si="9"/>
        <v>30479.591836734693</v>
      </c>
      <c r="N39" s="79">
        <f t="shared" si="10"/>
        <v>0.91044526280549043</v>
      </c>
      <c r="O39" s="80">
        <f t="shared" si="0"/>
        <v>2120</v>
      </c>
      <c r="P39" s="19">
        <v>1968</v>
      </c>
      <c r="Q39" s="19">
        <v>1607</v>
      </c>
      <c r="R39" s="81">
        <f t="shared" si="1"/>
        <v>3575</v>
      </c>
      <c r="S39" s="82">
        <f t="shared" si="11"/>
        <v>0.15847158039385173</v>
      </c>
      <c r="T39" s="83" t="s">
        <v>166</v>
      </c>
      <c r="U39" s="83" t="s">
        <v>157</v>
      </c>
      <c r="V39" s="83" t="s">
        <v>157</v>
      </c>
      <c r="W39" s="113">
        <f t="shared" si="2"/>
        <v>91</v>
      </c>
      <c r="AA39" s="75" t="s">
        <v>110</v>
      </c>
      <c r="AB39" s="44"/>
    </row>
    <row r="40" spans="1:28" ht="15">
      <c r="A40" s="15">
        <f t="shared" si="8"/>
        <v>27</v>
      </c>
      <c r="B40" s="15" t="s">
        <v>210</v>
      </c>
      <c r="C40" s="16">
        <v>2017</v>
      </c>
      <c r="D40" s="75" t="s">
        <v>19</v>
      </c>
      <c r="E40" s="16" t="s">
        <v>211</v>
      </c>
      <c r="F40" s="17">
        <v>8</v>
      </c>
      <c r="G40" s="75" t="s">
        <v>105</v>
      </c>
      <c r="H40" s="75" t="s">
        <v>110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>
        <v>12990</v>
      </c>
      <c r="K40" s="37">
        <v>12990</v>
      </c>
      <c r="L40" s="35">
        <v>0.93</v>
      </c>
      <c r="M40" s="78">
        <f t="shared" si="9"/>
        <v>13967.741935483869</v>
      </c>
      <c r="N40" s="79">
        <f t="shared" si="10"/>
        <v>0.93000000000000016</v>
      </c>
      <c r="O40" s="80">
        <f t="shared" si="0"/>
        <v>0</v>
      </c>
      <c r="P40" s="19">
        <v>2186</v>
      </c>
      <c r="Q40" s="19">
        <v>1927</v>
      </c>
      <c r="R40" s="81">
        <f t="shared" si="1"/>
        <v>4113</v>
      </c>
      <c r="S40" s="82">
        <f t="shared" si="11"/>
        <v>17.131155127730469</v>
      </c>
      <c r="T40" s="83" t="s">
        <v>165</v>
      </c>
      <c r="U40" s="83" t="s">
        <v>157</v>
      </c>
      <c r="V40" s="83" t="s">
        <v>158</v>
      </c>
      <c r="W40" s="113">
        <f t="shared" si="2"/>
        <v>30</v>
      </c>
      <c r="AA40" s="75" t="s">
        <v>106</v>
      </c>
      <c r="AB40" s="44"/>
    </row>
    <row r="41" spans="1:28" ht="15">
      <c r="A41" s="15">
        <f t="shared" si="8"/>
        <v>28</v>
      </c>
      <c r="B41" s="15" t="s">
        <v>212</v>
      </c>
      <c r="C41" s="16">
        <v>2020</v>
      </c>
      <c r="D41" s="75" t="s">
        <v>19</v>
      </c>
      <c r="E41" s="16" t="s">
        <v>170</v>
      </c>
      <c r="F41" s="17">
        <v>14</v>
      </c>
      <c r="G41" s="75" t="s">
        <v>112</v>
      </c>
      <c r="H41" s="75" t="s">
        <v>106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65900</v>
      </c>
      <c r="K41" s="37">
        <v>64399</v>
      </c>
      <c r="L41" s="35">
        <v>1.1000000000000001</v>
      </c>
      <c r="M41" s="78">
        <f t="shared" si="9"/>
        <v>59909.090909090904</v>
      </c>
      <c r="N41" s="79">
        <f t="shared" si="10"/>
        <v>1.0749453717754174</v>
      </c>
      <c r="O41" s="80">
        <f t="shared" si="0"/>
        <v>1501</v>
      </c>
      <c r="P41" s="19">
        <v>3978</v>
      </c>
      <c r="Q41" s="19">
        <v>525</v>
      </c>
      <c r="R41" s="81">
        <f t="shared" si="1"/>
        <v>4503</v>
      </c>
      <c r="S41" s="82">
        <f t="shared" si="11"/>
        <v>1.9164103303723634</v>
      </c>
      <c r="T41" s="83" t="s">
        <v>166</v>
      </c>
      <c r="U41" s="83" t="s">
        <v>157</v>
      </c>
      <c r="V41" s="83" t="s">
        <v>158</v>
      </c>
      <c r="W41" s="113">
        <f t="shared" si="2"/>
        <v>30</v>
      </c>
      <c r="AA41" s="75" t="s">
        <v>110</v>
      </c>
      <c r="AB41" s="44"/>
    </row>
    <row r="42" spans="1:28" ht="15">
      <c r="A42" s="15">
        <f t="shared" si="8"/>
        <v>29</v>
      </c>
      <c r="B42" s="15" t="s">
        <v>213</v>
      </c>
      <c r="C42" s="16">
        <v>2022</v>
      </c>
      <c r="D42" s="75" t="s">
        <v>19</v>
      </c>
      <c r="E42" s="16" t="s">
        <v>172</v>
      </c>
      <c r="F42" s="17">
        <v>17</v>
      </c>
      <c r="G42" s="75" t="s">
        <v>114</v>
      </c>
      <c r="H42" s="75" t="s">
        <v>110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51440</v>
      </c>
      <c r="K42" s="37">
        <v>49900</v>
      </c>
      <c r="L42" s="35">
        <v>0.98</v>
      </c>
      <c r="M42" s="78">
        <f t="shared" si="9"/>
        <v>52489.795918367345</v>
      </c>
      <c r="N42" s="79">
        <f t="shared" si="10"/>
        <v>0.9506609642301711</v>
      </c>
      <c r="O42" s="80">
        <f t="shared" si="0"/>
        <v>1540</v>
      </c>
      <c r="P42" s="19">
        <v>2975</v>
      </c>
      <c r="Q42" s="19">
        <v>0</v>
      </c>
      <c r="R42" s="81">
        <f t="shared" si="1"/>
        <v>2975</v>
      </c>
      <c r="S42" s="82">
        <f t="shared" si="11"/>
        <v>1.342567927543953</v>
      </c>
      <c r="T42" s="83" t="s">
        <v>163</v>
      </c>
      <c r="U42" s="83" t="s">
        <v>158</v>
      </c>
      <c r="V42" s="83" t="s">
        <v>158</v>
      </c>
      <c r="W42" s="113">
        <f t="shared" si="2"/>
        <v>30</v>
      </c>
      <c r="AA42" s="75" t="s">
        <v>106</v>
      </c>
      <c r="AB42" s="44"/>
    </row>
    <row r="43" spans="1:28" ht="15">
      <c r="A43" s="15">
        <f t="shared" si="8"/>
        <v>30</v>
      </c>
      <c r="B43" s="15" t="s">
        <v>214</v>
      </c>
      <c r="C43" s="16">
        <v>2023</v>
      </c>
      <c r="D43" s="75" t="s">
        <v>19</v>
      </c>
      <c r="E43" s="16" t="s">
        <v>172</v>
      </c>
      <c r="F43" s="17">
        <v>358</v>
      </c>
      <c r="G43" s="75" t="s">
        <v>117</v>
      </c>
      <c r="H43" s="75" t="s">
        <v>110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42990</v>
      </c>
      <c r="K43" s="37">
        <v>42990</v>
      </c>
      <c r="L43" s="35">
        <v>1.02</v>
      </c>
      <c r="M43" s="78">
        <f t="shared" si="9"/>
        <v>42147.058823529413</v>
      </c>
      <c r="N43" s="79">
        <f t="shared" si="10"/>
        <v>1.02</v>
      </c>
      <c r="O43" s="80">
        <f t="shared" si="0"/>
        <v>0</v>
      </c>
      <c r="P43" s="19">
        <v>1680</v>
      </c>
      <c r="Q43" s="19">
        <v>1340</v>
      </c>
      <c r="R43" s="81">
        <f t="shared" si="1"/>
        <v>3020</v>
      </c>
      <c r="S43" s="82">
        <f t="shared" si="11"/>
        <v>7.3514197733717951E-2</v>
      </c>
      <c r="T43" s="83" t="s">
        <v>162</v>
      </c>
      <c r="U43" s="83" t="s">
        <v>157</v>
      </c>
      <c r="V43" s="83" t="s">
        <v>157</v>
      </c>
      <c r="W43" s="113">
        <f t="shared" si="2"/>
        <v>91</v>
      </c>
      <c r="AA43" s="75" t="s">
        <v>106</v>
      </c>
      <c r="AB43" s="44"/>
    </row>
    <row r="44" spans="1:28" ht="15">
      <c r="A44" s="15">
        <f t="shared" si="8"/>
        <v>31</v>
      </c>
      <c r="B44" s="15" t="s">
        <v>215</v>
      </c>
      <c r="C44" s="16">
        <v>2020</v>
      </c>
      <c r="D44" s="75" t="s">
        <v>19</v>
      </c>
      <c r="E44" s="16" t="s">
        <v>216</v>
      </c>
      <c r="F44" s="17">
        <v>54</v>
      </c>
      <c r="G44" s="75" t="s">
        <v>114</v>
      </c>
      <c r="H44" s="75" t="s">
        <v>106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83770</v>
      </c>
      <c r="K44" s="37">
        <v>82420</v>
      </c>
      <c r="L44" s="35">
        <v>1.01</v>
      </c>
      <c r="M44" s="78">
        <f t="shared" si="9"/>
        <v>82940.594059405936</v>
      </c>
      <c r="N44" s="79">
        <f t="shared" si="10"/>
        <v>0.99372328996060644</v>
      </c>
      <c r="O44" s="80">
        <f t="shared" si="0"/>
        <v>1350</v>
      </c>
      <c r="P44" s="19">
        <v>2496</v>
      </c>
      <c r="Q44" s="19">
        <v>1723</v>
      </c>
      <c r="R44" s="81">
        <f t="shared" si="1"/>
        <v>4219</v>
      </c>
      <c r="S44" s="82">
        <f t="shared" si="11"/>
        <v>0.35191765510568374</v>
      </c>
      <c r="T44" s="83" t="s">
        <v>164</v>
      </c>
      <c r="U44" s="83" t="s">
        <v>155</v>
      </c>
      <c r="V44" s="83" t="s">
        <v>155</v>
      </c>
      <c r="W44" s="113">
        <f t="shared" si="2"/>
        <v>60</v>
      </c>
      <c r="AA44" s="75" t="s">
        <v>110</v>
      </c>
      <c r="AB44" s="44"/>
    </row>
    <row r="45" spans="1:28" ht="15">
      <c r="A45" s="15">
        <f t="shared" si="8"/>
        <v>32</v>
      </c>
      <c r="B45" s="15" t="s">
        <v>217</v>
      </c>
      <c r="C45" s="16">
        <v>2017</v>
      </c>
      <c r="D45" s="75" t="s">
        <v>19</v>
      </c>
      <c r="E45" s="16" t="s">
        <v>190</v>
      </c>
      <c r="F45" s="17">
        <v>10</v>
      </c>
      <c r="G45" s="75" t="s">
        <v>105</v>
      </c>
      <c r="H45" s="75" t="s">
        <v>106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25770</v>
      </c>
      <c r="K45" s="37">
        <v>25220</v>
      </c>
      <c r="L45" s="35">
        <v>1</v>
      </c>
      <c r="M45" s="78">
        <f t="shared" si="9"/>
        <v>25770</v>
      </c>
      <c r="N45" s="79">
        <f t="shared" si="10"/>
        <v>0.97865735351183547</v>
      </c>
      <c r="O45" s="80">
        <f t="shared" si="0"/>
        <v>550</v>
      </c>
      <c r="P45" s="19">
        <v>5674</v>
      </c>
      <c r="Q45" s="19">
        <v>325</v>
      </c>
      <c r="R45" s="81">
        <f t="shared" si="1"/>
        <v>5999</v>
      </c>
      <c r="S45" s="82">
        <f t="shared" si="11"/>
        <v>11.049012585695282</v>
      </c>
      <c r="T45" s="83" t="s">
        <v>162</v>
      </c>
      <c r="U45" s="83" t="s">
        <v>157</v>
      </c>
      <c r="V45" s="83" t="s">
        <v>158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106</v>
      </c>
      <c r="AB45" s="44"/>
    </row>
    <row r="46" spans="1:28" ht="15">
      <c r="A46" s="15">
        <f t="shared" si="8"/>
        <v>33</v>
      </c>
      <c r="B46" s="15" t="s">
        <v>218</v>
      </c>
      <c r="C46" s="16">
        <v>2021</v>
      </c>
      <c r="D46" s="75" t="s">
        <v>19</v>
      </c>
      <c r="E46" s="16" t="s">
        <v>219</v>
      </c>
      <c r="F46" s="17">
        <v>106</v>
      </c>
      <c r="G46" s="75" t="s">
        <v>121</v>
      </c>
      <c r="H46" s="75" t="s">
        <v>106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7">
        <v>23890</v>
      </c>
      <c r="K46" s="37">
        <v>23179</v>
      </c>
      <c r="L46" s="35">
        <v>0.96</v>
      </c>
      <c r="M46" s="78">
        <f t="shared" si="9"/>
        <v>24885.416666666668</v>
      </c>
      <c r="N46" s="79">
        <f t="shared" si="10"/>
        <v>0.93142904981163666</v>
      </c>
      <c r="O46" s="80">
        <f t="shared" si="0"/>
        <v>711</v>
      </c>
      <c r="P46" s="19">
        <v>-607</v>
      </c>
      <c r="Q46" s="19">
        <v>0</v>
      </c>
      <c r="R46" s="81">
        <f t="shared" si="1"/>
        <v>-607</v>
      </c>
      <c r="S46" s="82">
        <f t="shared" si="11"/>
        <v>-8.6669025223335749E-2</v>
      </c>
      <c r="T46" s="83" t="s">
        <v>163</v>
      </c>
      <c r="U46" s="83" t="s">
        <v>157</v>
      </c>
      <c r="V46" s="83" t="s">
        <v>157</v>
      </c>
      <c r="W46" s="113">
        <f t="shared" si="12"/>
        <v>91</v>
      </c>
      <c r="AA46" s="75" t="s">
        <v>106</v>
      </c>
      <c r="AB46" s="44"/>
    </row>
    <row r="47" spans="1:28" ht="15">
      <c r="A47" s="15">
        <f t="shared" si="8"/>
        <v>34</v>
      </c>
      <c r="B47" s="15" t="s">
        <v>181</v>
      </c>
      <c r="C47" s="16">
        <v>2020</v>
      </c>
      <c r="D47" s="75" t="s">
        <v>220</v>
      </c>
      <c r="E47" s="16" t="s">
        <v>221</v>
      </c>
      <c r="F47" s="17">
        <v>70</v>
      </c>
      <c r="G47" s="75" t="s">
        <v>111</v>
      </c>
      <c r="H47" s="75"/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33990</v>
      </c>
      <c r="K47" s="37">
        <v>31687</v>
      </c>
      <c r="L47" s="35">
        <v>1.08</v>
      </c>
      <c r="M47" s="78">
        <f t="shared" si="9"/>
        <v>31472.222222222219</v>
      </c>
      <c r="N47" s="79">
        <f t="shared" si="10"/>
        <v>1.0068243601059137</v>
      </c>
      <c r="O47" s="80">
        <f t="shared" si="0"/>
        <v>2303</v>
      </c>
      <c r="P47" s="19">
        <v>-13</v>
      </c>
      <c r="Q47" s="19">
        <v>1030</v>
      </c>
      <c r="R47" s="81">
        <f t="shared" si="1"/>
        <v>1017</v>
      </c>
      <c r="S47" s="82">
        <f t="shared" si="11"/>
        <v>0.16499324019828754</v>
      </c>
      <c r="T47" s="83" t="s">
        <v>163</v>
      </c>
      <c r="U47" s="83" t="s">
        <v>157</v>
      </c>
      <c r="V47" s="83" t="s">
        <v>157</v>
      </c>
      <c r="W47" s="113">
        <f t="shared" si="12"/>
        <v>90</v>
      </c>
      <c r="AA47" s="75" t="s">
        <v>106</v>
      </c>
      <c r="AB47" s="44"/>
    </row>
    <row r="48" spans="1:28" ht="15">
      <c r="A48" s="15">
        <f t="shared" si="8"/>
        <v>35</v>
      </c>
      <c r="B48" s="15"/>
      <c r="C48" s="16"/>
      <c r="D48" s="75"/>
      <c r="E48" s="16"/>
      <c r="F48" s="17"/>
      <c r="G48" s="75"/>
      <c r="H48" s="75"/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Blank</v>
      </c>
      <c r="J48" s="37"/>
      <c r="K48" s="37"/>
      <c r="L48" s="35"/>
      <c r="M48" s="78" t="e">
        <f t="shared" si="9"/>
        <v>#DIV/0!</v>
      </c>
      <c r="N48" s="79" t="e">
        <f t="shared" si="10"/>
        <v>#DIV/0!</v>
      </c>
      <c r="O48" s="80" t="str">
        <f t="shared" si="0"/>
        <v>BLANK</v>
      </c>
      <c r="P48" s="19"/>
      <c r="Q48" s="19"/>
      <c r="R48" s="81" t="str">
        <f t="shared" si="1"/>
        <v>BLANK</v>
      </c>
      <c r="S48" s="82" t="e">
        <f t="shared" si="11"/>
        <v>#VALUE!</v>
      </c>
      <c r="T48" s="83"/>
      <c r="U48" s="83"/>
      <c r="V48" s="83"/>
      <c r="W48" s="113">
        <f t="shared" si="12"/>
        <v>0</v>
      </c>
      <c r="AA48" s="75"/>
      <c r="AB48" s="44"/>
    </row>
    <row r="49" spans="1:28" ht="15">
      <c r="A49" s="15">
        <f t="shared" si="8"/>
        <v>36</v>
      </c>
      <c r="B49" s="15"/>
      <c r="C49" s="16"/>
      <c r="D49" s="75"/>
      <c r="E49" s="16"/>
      <c r="F49" s="17"/>
      <c r="G49" s="75"/>
      <c r="H49" s="75"/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Blank</v>
      </c>
      <c r="J49" s="37"/>
      <c r="K49" s="37"/>
      <c r="L49" s="35"/>
      <c r="M49" s="78" t="e">
        <f t="shared" si="9"/>
        <v>#DIV/0!</v>
      </c>
      <c r="N49" s="79" t="e">
        <f t="shared" si="10"/>
        <v>#DIV/0!</v>
      </c>
      <c r="O49" s="80" t="str">
        <f t="shared" si="0"/>
        <v>BLANK</v>
      </c>
      <c r="P49" s="19"/>
      <c r="Q49" s="19"/>
      <c r="R49" s="81" t="str">
        <f t="shared" si="1"/>
        <v>BLANK</v>
      </c>
      <c r="S49" s="82" t="e">
        <f t="shared" si="11"/>
        <v>#VALUE!</v>
      </c>
      <c r="T49" s="83"/>
      <c r="U49" s="83"/>
      <c r="V49" s="83"/>
      <c r="W49" s="113">
        <f t="shared" si="12"/>
        <v>0</v>
      </c>
      <c r="AA49" s="75"/>
      <c r="AB49" s="44"/>
    </row>
    <row r="50" spans="1:28" ht="15">
      <c r="A50" s="15">
        <f t="shared" si="8"/>
        <v>37</v>
      </c>
      <c r="B50" s="15"/>
      <c r="C50" s="16"/>
      <c r="D50" s="75"/>
      <c r="E50" s="16"/>
      <c r="F50" s="17"/>
      <c r="G50" s="75"/>
      <c r="H50" s="75"/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Blank</v>
      </c>
      <c r="J50" s="37"/>
      <c r="K50" s="37"/>
      <c r="L50" s="35"/>
      <c r="M50" s="78" t="e">
        <f t="shared" si="9"/>
        <v>#DIV/0!</v>
      </c>
      <c r="N50" s="79" t="e">
        <f t="shared" si="10"/>
        <v>#DIV/0!</v>
      </c>
      <c r="O50" s="80" t="str">
        <f t="shared" si="0"/>
        <v>BLANK</v>
      </c>
      <c r="P50" s="19"/>
      <c r="Q50" s="19"/>
      <c r="R50" s="81" t="str">
        <f t="shared" si="1"/>
        <v>BLANK</v>
      </c>
      <c r="S50" s="82" t="e">
        <f t="shared" si="11"/>
        <v>#VALUE!</v>
      </c>
      <c r="T50" s="83"/>
      <c r="U50" s="83"/>
      <c r="V50" s="83"/>
      <c r="W50" s="113">
        <f t="shared" si="12"/>
        <v>0</v>
      </c>
      <c r="AA50" s="75"/>
      <c r="AB50" s="44"/>
    </row>
    <row r="51" spans="1:28" ht="15">
      <c r="A51" s="15">
        <f t="shared" si="8"/>
        <v>38</v>
      </c>
      <c r="B51" s="15"/>
      <c r="C51" s="16"/>
      <c r="D51" s="75"/>
      <c r="E51" s="16"/>
      <c r="F51" s="17"/>
      <c r="G51" s="75"/>
      <c r="H51" s="75"/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Blank</v>
      </c>
      <c r="J51" s="37"/>
      <c r="K51" s="37"/>
      <c r="L51" s="35"/>
      <c r="M51" s="78" t="e">
        <f t="shared" si="9"/>
        <v>#DIV/0!</v>
      </c>
      <c r="N51" s="79" t="e">
        <f t="shared" si="10"/>
        <v>#DIV/0!</v>
      </c>
      <c r="O51" s="80" t="str">
        <f t="shared" si="0"/>
        <v>BLANK</v>
      </c>
      <c r="P51" s="19"/>
      <c r="Q51" s="19"/>
      <c r="R51" s="81" t="str">
        <f t="shared" si="1"/>
        <v>BLANK</v>
      </c>
      <c r="S51" s="82" t="e">
        <f t="shared" si="11"/>
        <v>#VALUE!</v>
      </c>
      <c r="T51" s="83"/>
      <c r="U51" s="83"/>
      <c r="V51" s="83"/>
      <c r="W51" s="113">
        <f t="shared" si="12"/>
        <v>0</v>
      </c>
      <c r="AA51" s="75"/>
      <c r="AB51" s="44"/>
    </row>
    <row r="52" spans="1:28" ht="15">
      <c r="A52" s="15">
        <f t="shared" si="8"/>
        <v>39</v>
      </c>
      <c r="B52" s="15"/>
      <c r="C52" s="16"/>
      <c r="D52" s="75"/>
      <c r="E52" s="16"/>
      <c r="F52" s="17"/>
      <c r="G52" s="75"/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7"/>
      <c r="K52" s="37"/>
      <c r="L52" s="35"/>
      <c r="M52" s="78" t="e">
        <f t="shared" si="9"/>
        <v>#DIV/0!</v>
      </c>
      <c r="N52" s="79" t="e">
        <f t="shared" si="10"/>
        <v>#DIV/0!</v>
      </c>
      <c r="O52" s="80" t="str">
        <f t="shared" si="0"/>
        <v>BLANK</v>
      </c>
      <c r="P52" s="19"/>
      <c r="Q52" s="19"/>
      <c r="R52" s="81" t="str">
        <f t="shared" si="1"/>
        <v>BLANK</v>
      </c>
      <c r="S52" s="82" t="e">
        <f t="shared" si="11"/>
        <v>#VALUE!</v>
      </c>
      <c r="T52" s="83"/>
      <c r="U52" s="83"/>
      <c r="V52" s="83"/>
      <c r="W52" s="113">
        <f t="shared" si="12"/>
        <v>0</v>
      </c>
      <c r="AA52" s="75"/>
      <c r="AB52" s="44"/>
    </row>
    <row r="53" spans="1:28" ht="15">
      <c r="A53" s="15">
        <f t="shared" si="8"/>
        <v>40</v>
      </c>
      <c r="B53" s="15"/>
      <c r="C53" s="16"/>
      <c r="D53" s="75"/>
      <c r="E53" s="16"/>
      <c r="F53" s="17"/>
      <c r="G53" s="75"/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7"/>
      <c r="K53" s="37"/>
      <c r="L53" s="35"/>
      <c r="M53" s="78" t="e">
        <f t="shared" si="9"/>
        <v>#DIV/0!</v>
      </c>
      <c r="N53" s="79" t="e">
        <f t="shared" si="10"/>
        <v>#DIV/0!</v>
      </c>
      <c r="O53" s="80" t="str">
        <f t="shared" si="0"/>
        <v>BLANK</v>
      </c>
      <c r="P53" s="19"/>
      <c r="Q53" s="19"/>
      <c r="R53" s="81" t="str">
        <f t="shared" si="1"/>
        <v>BLANK</v>
      </c>
      <c r="S53" s="82" t="e">
        <f t="shared" si="11"/>
        <v>#VALUE!</v>
      </c>
      <c r="T53" s="83"/>
      <c r="U53" s="83"/>
      <c r="V53" s="83"/>
      <c r="W53" s="113">
        <f t="shared" si="12"/>
        <v>0</v>
      </c>
      <c r="AA53" s="75"/>
      <c r="AB53" s="44"/>
    </row>
    <row r="54" spans="1:28" ht="15">
      <c r="A54" s="15">
        <f t="shared" si="8"/>
        <v>41</v>
      </c>
      <c r="B54" s="15"/>
      <c r="C54" s="16"/>
      <c r="D54" s="75"/>
      <c r="E54" s="16"/>
      <c r="F54" s="17"/>
      <c r="G54" s="75"/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7"/>
      <c r="K54" s="37"/>
      <c r="L54" s="35"/>
      <c r="M54" s="78" t="e">
        <f t="shared" si="9"/>
        <v>#DIV/0!</v>
      </c>
      <c r="N54" s="79" t="e">
        <f t="shared" si="10"/>
        <v>#DIV/0!</v>
      </c>
      <c r="O54" s="80" t="str">
        <f t="shared" si="0"/>
        <v>BLANK</v>
      </c>
      <c r="P54" s="19"/>
      <c r="Q54" s="19"/>
      <c r="R54" s="81" t="str">
        <f t="shared" si="1"/>
        <v>BLANK</v>
      </c>
      <c r="S54" s="82" t="e">
        <f t="shared" si="11"/>
        <v>#VALUE!</v>
      </c>
      <c r="T54" s="83"/>
      <c r="U54" s="83"/>
      <c r="V54" s="83"/>
      <c r="W54" s="113">
        <f t="shared" si="12"/>
        <v>0</v>
      </c>
      <c r="AA54" s="75"/>
      <c r="AB54" s="44"/>
    </row>
    <row r="55" spans="1:28" ht="15">
      <c r="A55" s="15">
        <f t="shared" si="8"/>
        <v>42</v>
      </c>
      <c r="B55" s="15"/>
      <c r="C55" s="16"/>
      <c r="D55" s="75"/>
      <c r="E55" s="16"/>
      <c r="F55" s="17"/>
      <c r="G55" s="75"/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7"/>
      <c r="K55" s="37"/>
      <c r="L55" s="35"/>
      <c r="M55" s="78" t="e">
        <f t="shared" si="9"/>
        <v>#DIV/0!</v>
      </c>
      <c r="N55" s="79" t="e">
        <f t="shared" si="10"/>
        <v>#DIV/0!</v>
      </c>
      <c r="O55" s="80" t="str">
        <f t="shared" si="0"/>
        <v>BLANK</v>
      </c>
      <c r="P55" s="19"/>
      <c r="Q55" s="19"/>
      <c r="R55" s="81" t="str">
        <f t="shared" si="1"/>
        <v>BLANK</v>
      </c>
      <c r="S55" s="82" t="e">
        <f t="shared" si="11"/>
        <v>#VALUE!</v>
      </c>
      <c r="T55" s="83"/>
      <c r="U55" s="83"/>
      <c r="V55" s="83"/>
      <c r="W55" s="113">
        <f t="shared" si="12"/>
        <v>0</v>
      </c>
      <c r="AA55" s="75"/>
      <c r="AB55" s="44"/>
    </row>
    <row r="56" spans="1:28" ht="15">
      <c r="A56" s="15">
        <f t="shared" si="8"/>
        <v>43</v>
      </c>
      <c r="B56" s="15"/>
      <c r="C56" s="16"/>
      <c r="D56" s="75"/>
      <c r="E56" s="16"/>
      <c r="F56" s="17"/>
      <c r="G56" s="75"/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7"/>
      <c r="K56" s="37"/>
      <c r="L56" s="35"/>
      <c r="M56" s="78" t="e">
        <f t="shared" si="9"/>
        <v>#DIV/0!</v>
      </c>
      <c r="N56" s="79" t="e">
        <f t="shared" si="10"/>
        <v>#DIV/0!</v>
      </c>
      <c r="O56" s="80" t="str">
        <f t="shared" si="0"/>
        <v>BLANK</v>
      </c>
      <c r="P56" s="19"/>
      <c r="Q56" s="19"/>
      <c r="R56" s="81" t="str">
        <f t="shared" si="1"/>
        <v>BLANK</v>
      </c>
      <c r="S56" s="82" t="e">
        <f t="shared" si="11"/>
        <v>#VALUE!</v>
      </c>
      <c r="T56" s="83"/>
      <c r="U56" s="83"/>
      <c r="V56" s="83"/>
      <c r="W56" s="113">
        <f t="shared" si="12"/>
        <v>0</v>
      </c>
      <c r="AA56" s="75"/>
      <c r="AB56" s="44"/>
    </row>
    <row r="57" spans="1:28" ht="15">
      <c r="A57" s="15">
        <f t="shared" si="8"/>
        <v>44</v>
      </c>
      <c r="B57" s="15"/>
      <c r="C57" s="16"/>
      <c r="D57" s="75"/>
      <c r="E57" s="16"/>
      <c r="F57" s="17"/>
      <c r="G57" s="75"/>
      <c r="H57" s="75"/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7"/>
      <c r="K57" s="37"/>
      <c r="L57" s="35"/>
      <c r="M57" s="78" t="e">
        <f t="shared" si="9"/>
        <v>#DIV/0!</v>
      </c>
      <c r="N57" s="79" t="e">
        <f t="shared" si="10"/>
        <v>#DIV/0!</v>
      </c>
      <c r="O57" s="80" t="str">
        <f t="shared" si="0"/>
        <v>BLANK</v>
      </c>
      <c r="P57" s="19"/>
      <c r="Q57" s="19"/>
      <c r="R57" s="81" t="str">
        <f t="shared" si="1"/>
        <v>BLANK</v>
      </c>
      <c r="S57" s="82" t="e">
        <f t="shared" si="11"/>
        <v>#VALUE!</v>
      </c>
      <c r="T57" s="83"/>
      <c r="U57" s="83"/>
      <c r="V57" s="83"/>
      <c r="W57" s="113">
        <f t="shared" si="12"/>
        <v>0</v>
      </c>
      <c r="AA57" s="75"/>
      <c r="AB57" s="44"/>
    </row>
    <row r="58" spans="1:28" ht="15">
      <c r="A58" s="15">
        <f t="shared" si="8"/>
        <v>45</v>
      </c>
      <c r="B58" s="15"/>
      <c r="C58" s="16"/>
      <c r="D58" s="75"/>
      <c r="E58" s="16"/>
      <c r="F58" s="17"/>
      <c r="G58" s="75"/>
      <c r="H58" s="75"/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7"/>
      <c r="K58" s="37"/>
      <c r="L58" s="35"/>
      <c r="M58" s="78" t="e">
        <f t="shared" si="9"/>
        <v>#DIV/0!</v>
      </c>
      <c r="N58" s="79" t="e">
        <f t="shared" si="10"/>
        <v>#DIV/0!</v>
      </c>
      <c r="O58" s="80" t="str">
        <f t="shared" si="0"/>
        <v>BLANK</v>
      </c>
      <c r="P58" s="19"/>
      <c r="Q58" s="19"/>
      <c r="R58" s="81" t="str">
        <f t="shared" si="1"/>
        <v>BLANK</v>
      </c>
      <c r="S58" s="82" t="e">
        <f t="shared" si="11"/>
        <v>#VALUE!</v>
      </c>
      <c r="T58" s="83"/>
      <c r="U58" s="83"/>
      <c r="V58" s="83"/>
      <c r="W58" s="113">
        <f t="shared" si="12"/>
        <v>0</v>
      </c>
      <c r="AA58" s="75"/>
      <c r="AB58" s="44"/>
    </row>
    <row r="59" spans="1:28" ht="15">
      <c r="A59" s="15">
        <f t="shared" si="8"/>
        <v>46</v>
      </c>
      <c r="B59" s="15"/>
      <c r="C59" s="16"/>
      <c r="D59" s="75"/>
      <c r="E59" s="16"/>
      <c r="F59" s="17"/>
      <c r="G59" s="75"/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7"/>
      <c r="K59" s="37"/>
      <c r="L59" s="35"/>
      <c r="M59" s="78" t="e">
        <f t="shared" si="9"/>
        <v>#DIV/0!</v>
      </c>
      <c r="N59" s="79" t="e">
        <f t="shared" si="10"/>
        <v>#DIV/0!</v>
      </c>
      <c r="O59" s="80" t="str">
        <f t="shared" si="0"/>
        <v>BLANK</v>
      </c>
      <c r="P59" s="19"/>
      <c r="Q59" s="19"/>
      <c r="R59" s="81" t="str">
        <f t="shared" si="1"/>
        <v>BLANK</v>
      </c>
      <c r="S59" s="82" t="e">
        <f t="shared" si="11"/>
        <v>#VALUE!</v>
      </c>
      <c r="T59" s="83"/>
      <c r="U59" s="83"/>
      <c r="V59" s="83"/>
      <c r="W59" s="113">
        <f t="shared" si="12"/>
        <v>0</v>
      </c>
      <c r="AA59" s="75"/>
      <c r="AB59" s="44"/>
    </row>
    <row r="60" spans="1:28" ht="15">
      <c r="A60" s="15">
        <f t="shared" si="8"/>
        <v>47</v>
      </c>
      <c r="B60" s="15"/>
      <c r="C60" s="16"/>
      <c r="D60" s="75"/>
      <c r="E60" s="16"/>
      <c r="F60" s="17"/>
      <c r="G60" s="75"/>
      <c r="H60" s="75"/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7"/>
      <c r="K60" s="37"/>
      <c r="L60" s="35"/>
      <c r="M60" s="78" t="e">
        <f t="shared" si="9"/>
        <v>#DIV/0!</v>
      </c>
      <c r="N60" s="79" t="e">
        <f t="shared" si="10"/>
        <v>#DIV/0!</v>
      </c>
      <c r="O60" s="80" t="str">
        <f t="shared" si="0"/>
        <v>BLANK</v>
      </c>
      <c r="P60" s="19"/>
      <c r="Q60" s="19"/>
      <c r="R60" s="81" t="str">
        <f t="shared" si="1"/>
        <v>BLANK</v>
      </c>
      <c r="S60" s="82" t="e">
        <f t="shared" si="11"/>
        <v>#VALUE!</v>
      </c>
      <c r="T60" s="83"/>
      <c r="U60" s="83"/>
      <c r="V60" s="83"/>
      <c r="W60" s="113">
        <f t="shared" si="12"/>
        <v>0</v>
      </c>
      <c r="AA60" s="75"/>
      <c r="AB60" s="44"/>
    </row>
    <row r="61" spans="1:28" ht="15">
      <c r="A61" s="15">
        <f t="shared" si="8"/>
        <v>48</v>
      </c>
      <c r="B61" s="15"/>
      <c r="C61" s="16"/>
      <c r="D61" s="75"/>
      <c r="E61" s="16"/>
      <c r="F61" s="17"/>
      <c r="G61" s="75"/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7"/>
      <c r="K61" s="37"/>
      <c r="L61" s="35"/>
      <c r="M61" s="78" t="e">
        <f t="shared" si="9"/>
        <v>#DIV/0!</v>
      </c>
      <c r="N61" s="79" t="e">
        <f t="shared" si="10"/>
        <v>#DIV/0!</v>
      </c>
      <c r="O61" s="80" t="str">
        <f t="shared" si="0"/>
        <v>BLANK</v>
      </c>
      <c r="P61" s="19"/>
      <c r="Q61" s="19"/>
      <c r="R61" s="81" t="str">
        <f t="shared" si="1"/>
        <v>BLANK</v>
      </c>
      <c r="S61" s="82" t="e">
        <f t="shared" si="11"/>
        <v>#VALUE!</v>
      </c>
      <c r="T61" s="83"/>
      <c r="U61" s="83"/>
      <c r="V61" s="83"/>
      <c r="W61" s="113">
        <f t="shared" si="12"/>
        <v>0</v>
      </c>
      <c r="AA61" s="75"/>
      <c r="AB61" s="44"/>
    </row>
    <row r="62" spans="1:28" ht="15">
      <c r="A62" s="15">
        <f t="shared" si="8"/>
        <v>49</v>
      </c>
      <c r="B62" s="15"/>
      <c r="C62" s="16"/>
      <c r="D62" s="75"/>
      <c r="E62" s="16"/>
      <c r="F62" s="17"/>
      <c r="G62" s="75"/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7"/>
      <c r="K62" s="37"/>
      <c r="L62" s="35"/>
      <c r="M62" s="78" t="e">
        <f t="shared" si="9"/>
        <v>#DIV/0!</v>
      </c>
      <c r="N62" s="79" t="e">
        <f t="shared" si="10"/>
        <v>#DIV/0!</v>
      </c>
      <c r="O62" s="80" t="str">
        <f t="shared" si="0"/>
        <v>BLANK</v>
      </c>
      <c r="P62" s="19"/>
      <c r="Q62" s="19"/>
      <c r="R62" s="81" t="str">
        <f t="shared" si="1"/>
        <v>BLANK</v>
      </c>
      <c r="S62" s="82" t="e">
        <f t="shared" si="11"/>
        <v>#VALUE!</v>
      </c>
      <c r="T62" s="83"/>
      <c r="U62" s="83"/>
      <c r="V62" s="83"/>
      <c r="W62" s="113">
        <f t="shared" si="12"/>
        <v>0</v>
      </c>
      <c r="AA62" s="75"/>
      <c r="AB62" s="44"/>
    </row>
    <row r="63" spans="1:28" ht="15">
      <c r="A63" s="15">
        <f t="shared" si="8"/>
        <v>50</v>
      </c>
      <c r="B63" s="15"/>
      <c r="C63" s="16"/>
      <c r="D63" s="75"/>
      <c r="E63" s="16"/>
      <c r="F63" s="17"/>
      <c r="G63" s="75"/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7"/>
      <c r="K63" s="37"/>
      <c r="L63" s="35"/>
      <c r="M63" s="78" t="e">
        <f t="shared" si="9"/>
        <v>#DIV/0!</v>
      </c>
      <c r="N63" s="79" t="e">
        <f t="shared" si="10"/>
        <v>#DIV/0!</v>
      </c>
      <c r="O63" s="80" t="str">
        <f t="shared" si="0"/>
        <v>BLANK</v>
      </c>
      <c r="P63" s="19"/>
      <c r="Q63" s="19"/>
      <c r="R63" s="81" t="str">
        <f t="shared" si="1"/>
        <v>BLANK</v>
      </c>
      <c r="S63" s="82" t="e">
        <f t="shared" si="11"/>
        <v>#VALUE!</v>
      </c>
      <c r="T63" s="83"/>
      <c r="U63" s="83"/>
      <c r="V63" s="83"/>
      <c r="W63" s="113">
        <f t="shared" si="12"/>
        <v>0</v>
      </c>
      <c r="AA63" s="75"/>
      <c r="AB63" s="44"/>
    </row>
    <row r="64" spans="1:28" ht="15">
      <c r="A64" s="15">
        <f t="shared" si="8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9"/>
        <v>#DIV/0!</v>
      </c>
      <c r="N64" s="79" t="e">
        <f t="shared" si="10"/>
        <v>#DIV/0!</v>
      </c>
      <c r="O64" s="80" t="str">
        <f t="shared" si="0"/>
        <v>BLANK</v>
      </c>
      <c r="P64" s="19"/>
      <c r="Q64" s="19"/>
      <c r="R64" s="81" t="str">
        <f t="shared" si="1"/>
        <v>BLANK</v>
      </c>
      <c r="S64" s="82" t="e">
        <f t="shared" si="11"/>
        <v>#VALUE!</v>
      </c>
      <c r="T64" s="83"/>
      <c r="U64" s="83"/>
      <c r="V64" s="83"/>
      <c r="W64" s="113">
        <f t="shared" si="12"/>
        <v>0</v>
      </c>
      <c r="AA64" s="75"/>
      <c r="AB64" s="44"/>
    </row>
    <row r="65" spans="1:28" ht="15">
      <c r="A65" s="15">
        <f t="shared" si="8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9"/>
        <v>#DIV/0!</v>
      </c>
      <c r="N65" s="79" t="e">
        <f t="shared" si="10"/>
        <v>#DIV/0!</v>
      </c>
      <c r="O65" s="80" t="str">
        <f t="shared" si="0"/>
        <v>BLANK</v>
      </c>
      <c r="P65" s="19"/>
      <c r="Q65" s="19"/>
      <c r="R65" s="81" t="str">
        <f t="shared" si="1"/>
        <v>BLANK</v>
      </c>
      <c r="S65" s="82" t="e">
        <f t="shared" si="11"/>
        <v>#VALUE!</v>
      </c>
      <c r="T65" s="83"/>
      <c r="U65" s="83"/>
      <c r="V65" s="83"/>
      <c r="W65" s="113">
        <f t="shared" si="12"/>
        <v>0</v>
      </c>
      <c r="AA65" s="75"/>
      <c r="AB65" s="44"/>
    </row>
    <row r="66" spans="1:28" ht="15">
      <c r="A66" s="15">
        <f t="shared" si="8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9"/>
        <v>#DIV/0!</v>
      </c>
      <c r="N66" s="79" t="e">
        <f t="shared" si="10"/>
        <v>#DIV/0!</v>
      </c>
      <c r="O66" s="80" t="str">
        <f t="shared" si="0"/>
        <v>BLANK</v>
      </c>
      <c r="P66" s="19"/>
      <c r="Q66" s="19"/>
      <c r="R66" s="81" t="str">
        <f t="shared" si="1"/>
        <v>BLANK</v>
      </c>
      <c r="S66" s="82" t="e">
        <f t="shared" si="11"/>
        <v>#VALUE!</v>
      </c>
      <c r="T66" s="83"/>
      <c r="U66" s="83"/>
      <c r="V66" s="83"/>
      <c r="W66" s="113">
        <f t="shared" si="12"/>
        <v>0</v>
      </c>
      <c r="AA66" s="75"/>
      <c r="AB66" s="44"/>
    </row>
    <row r="67" spans="1:28" ht="15">
      <c r="A67" s="15">
        <f t="shared" si="8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9"/>
        <v>#DIV/0!</v>
      </c>
      <c r="N67" s="79" t="e">
        <f t="shared" si="10"/>
        <v>#DIV/0!</v>
      </c>
      <c r="O67" s="80" t="str">
        <f t="shared" si="0"/>
        <v>BLANK</v>
      </c>
      <c r="P67" s="19"/>
      <c r="Q67" s="19"/>
      <c r="R67" s="81" t="str">
        <f t="shared" si="1"/>
        <v>BLANK</v>
      </c>
      <c r="S67" s="82" t="e">
        <f t="shared" si="11"/>
        <v>#VALUE!</v>
      </c>
      <c r="T67" s="83"/>
      <c r="U67" s="83"/>
      <c r="V67" s="83"/>
      <c r="W67" s="113">
        <f t="shared" si="12"/>
        <v>0</v>
      </c>
      <c r="AA67" s="75"/>
      <c r="AB67" s="44"/>
    </row>
    <row r="68" spans="1:28" ht="15">
      <c r="A68" s="15">
        <f t="shared" si="8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9"/>
        <v>#DIV/0!</v>
      </c>
      <c r="N68" s="79" t="e">
        <f t="shared" si="10"/>
        <v>#DIV/0!</v>
      </c>
      <c r="O68" s="80" t="str">
        <f t="shared" si="0"/>
        <v>BLANK</v>
      </c>
      <c r="P68" s="19"/>
      <c r="Q68" s="19"/>
      <c r="R68" s="81" t="str">
        <f t="shared" si="1"/>
        <v>BLANK</v>
      </c>
      <c r="S68" s="82" t="e">
        <f t="shared" si="11"/>
        <v>#VALUE!</v>
      </c>
      <c r="T68" s="83"/>
      <c r="U68" s="83"/>
      <c r="V68" s="83"/>
      <c r="W68" s="113">
        <f t="shared" si="12"/>
        <v>0</v>
      </c>
      <c r="AA68" s="75"/>
      <c r="AB68" s="44"/>
    </row>
    <row r="69" spans="1:28" ht="15">
      <c r="A69" s="15">
        <f t="shared" si="8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9"/>
        <v>#DIV/0!</v>
      </c>
      <c r="N69" s="79" t="e">
        <f t="shared" si="10"/>
        <v>#DIV/0!</v>
      </c>
      <c r="O69" s="80" t="str">
        <f t="shared" si="0"/>
        <v>BLANK</v>
      </c>
      <c r="P69" s="19"/>
      <c r="Q69" s="19"/>
      <c r="R69" s="81" t="str">
        <f t="shared" si="1"/>
        <v>BLANK</v>
      </c>
      <c r="S69" s="82" t="e">
        <f t="shared" si="11"/>
        <v>#VALUE!</v>
      </c>
      <c r="T69" s="83"/>
      <c r="U69" s="83"/>
      <c r="V69" s="83"/>
      <c r="W69" s="113">
        <f t="shared" si="12"/>
        <v>0</v>
      </c>
      <c r="AA69" s="75"/>
      <c r="AB69" s="44"/>
    </row>
    <row r="70" spans="1:28" ht="15">
      <c r="A70" s="15">
        <f t="shared" si="8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9"/>
        <v>#DIV/0!</v>
      </c>
      <c r="N70" s="79" t="e">
        <f t="shared" si="10"/>
        <v>#DIV/0!</v>
      </c>
      <c r="O70" s="80" t="str">
        <f t="shared" si="0"/>
        <v>BLANK</v>
      </c>
      <c r="P70" s="19"/>
      <c r="Q70" s="19"/>
      <c r="R70" s="81" t="str">
        <f t="shared" si="1"/>
        <v>BLANK</v>
      </c>
      <c r="S70" s="82" t="e">
        <f t="shared" si="11"/>
        <v>#VALUE!</v>
      </c>
      <c r="T70" s="83"/>
      <c r="U70" s="83"/>
      <c r="V70" s="83"/>
      <c r="W70" s="113">
        <f t="shared" si="12"/>
        <v>0</v>
      </c>
      <c r="AA70" s="75"/>
      <c r="AB70" s="44"/>
    </row>
    <row r="71" spans="1:28" ht="15">
      <c r="A71" s="15">
        <f t="shared" si="8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9"/>
        <v>#DIV/0!</v>
      </c>
      <c r="N71" s="79" t="e">
        <f t="shared" si="10"/>
        <v>#DIV/0!</v>
      </c>
      <c r="O71" s="80" t="str">
        <f t="shared" si="0"/>
        <v>BLANK</v>
      </c>
      <c r="P71" s="19"/>
      <c r="Q71" s="19"/>
      <c r="R71" s="81" t="str">
        <f t="shared" si="1"/>
        <v>BLANK</v>
      </c>
      <c r="S71" s="82" t="e">
        <f t="shared" si="11"/>
        <v>#VALUE!</v>
      </c>
      <c r="T71" s="83"/>
      <c r="U71" s="83"/>
      <c r="V71" s="83"/>
      <c r="W71" s="113">
        <f t="shared" si="12"/>
        <v>0</v>
      </c>
      <c r="AA71" s="75"/>
      <c r="AB71" s="44"/>
    </row>
    <row r="72" spans="1:28" ht="15">
      <c r="A72" s="15">
        <f t="shared" si="8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9"/>
        <v>#DIV/0!</v>
      </c>
      <c r="N72" s="79" t="e">
        <f t="shared" si="10"/>
        <v>#DIV/0!</v>
      </c>
      <c r="O72" s="80" t="str">
        <f t="shared" si="0"/>
        <v>BLANK</v>
      </c>
      <c r="P72" s="19"/>
      <c r="Q72" s="19"/>
      <c r="R72" s="81" t="str">
        <f t="shared" si="1"/>
        <v>BLANK</v>
      </c>
      <c r="S72" s="82" t="e">
        <f t="shared" si="11"/>
        <v>#VALUE!</v>
      </c>
      <c r="T72" s="83"/>
      <c r="U72" s="83"/>
      <c r="V72" s="83"/>
      <c r="W72" s="113">
        <f t="shared" si="12"/>
        <v>0</v>
      </c>
      <c r="AA72" s="75"/>
      <c r="AB72" s="44"/>
    </row>
    <row r="73" spans="1:28" ht="15">
      <c r="A73" s="15">
        <f t="shared" si="8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9"/>
        <v>#DIV/0!</v>
      </c>
      <c r="N73" s="79" t="e">
        <f t="shared" si="10"/>
        <v>#DIV/0!</v>
      </c>
      <c r="O73" s="80" t="str">
        <f t="shared" si="0"/>
        <v>BLANK</v>
      </c>
      <c r="P73" s="19"/>
      <c r="Q73" s="19"/>
      <c r="R73" s="81" t="str">
        <f t="shared" si="1"/>
        <v>BLANK</v>
      </c>
      <c r="S73" s="82" t="e">
        <f t="shared" si="11"/>
        <v>#VALUE!</v>
      </c>
      <c r="T73" s="83"/>
      <c r="U73" s="83"/>
      <c r="V73" s="83"/>
      <c r="W73" s="113">
        <f t="shared" si="12"/>
        <v>0</v>
      </c>
      <c r="AA73" s="75"/>
      <c r="AB73" s="44"/>
    </row>
    <row r="74" spans="1:28" ht="15">
      <c r="A74" s="15">
        <f t="shared" si="8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9"/>
        <v>#DIV/0!</v>
      </c>
      <c r="N74" s="79" t="e">
        <f t="shared" si="10"/>
        <v>#DIV/0!</v>
      </c>
      <c r="O74" s="80" t="str">
        <f t="shared" si="0"/>
        <v>BLANK</v>
      </c>
      <c r="P74" s="19"/>
      <c r="Q74" s="19"/>
      <c r="R74" s="81" t="str">
        <f t="shared" si="1"/>
        <v>BLANK</v>
      </c>
      <c r="S74" s="82" t="e">
        <f t="shared" si="11"/>
        <v>#VALUE!</v>
      </c>
      <c r="T74" s="83"/>
      <c r="U74" s="83"/>
      <c r="V74" s="83"/>
      <c r="W74" s="113">
        <f t="shared" si="12"/>
        <v>0</v>
      </c>
      <c r="AA74" s="75"/>
      <c r="AB74" s="44"/>
    </row>
    <row r="75" spans="1:28" ht="15">
      <c r="A75" s="15">
        <f t="shared" si="8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9"/>
        <v>#DIV/0!</v>
      </c>
      <c r="N75" s="79" t="e">
        <f t="shared" si="10"/>
        <v>#DIV/0!</v>
      </c>
      <c r="O75" s="80" t="str">
        <f t="shared" si="0"/>
        <v>BLANK</v>
      </c>
      <c r="P75" s="19"/>
      <c r="Q75" s="19"/>
      <c r="R75" s="81" t="str">
        <f t="shared" si="1"/>
        <v>BLANK</v>
      </c>
      <c r="S75" s="82" t="e">
        <f t="shared" si="11"/>
        <v>#VALUE!</v>
      </c>
      <c r="T75" s="83"/>
      <c r="U75" s="83"/>
      <c r="V75" s="83"/>
      <c r="W75" s="113">
        <f t="shared" si="12"/>
        <v>0</v>
      </c>
      <c r="AA75" s="75"/>
      <c r="AB75" s="44"/>
    </row>
    <row r="76" spans="1:28" ht="15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5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5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5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5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5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5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5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5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5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5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5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5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5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5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5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5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5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5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5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5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5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5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5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5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5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5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5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5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5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5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5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5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5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5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5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5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5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5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5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7" thickBot="1">
      <c r="A214" s="85" t="s">
        <v>123</v>
      </c>
      <c r="B214" s="86"/>
      <c r="C214" s="87"/>
      <c r="D214" s="88">
        <f>COUNTA(D14:D213)</f>
        <v>34</v>
      </c>
      <c r="E214" s="89" t="s">
        <v>124</v>
      </c>
      <c r="F214" s="90">
        <f>AVERAGE(F14:F213)</f>
        <v>63.5</v>
      </c>
      <c r="G214" s="91"/>
      <c r="H214" s="91"/>
      <c r="I214" s="92">
        <f>COUNTIF(I14:I213,"No")</f>
        <v>7</v>
      </c>
      <c r="J214" s="93">
        <f>AVERAGEIF(J14:J213,"&lt;&gt;BLANK")</f>
        <v>42514.970588235294</v>
      </c>
      <c r="K214" s="94">
        <f>AVERAGEIF(K14:K213,"&lt;&gt;BLANK")</f>
        <v>41461.608529411766</v>
      </c>
      <c r="L214" s="95">
        <f>AVERAGEIF(L14:L213,"&lt;&gt;BLANK")</f>
        <v>1.0135882352941177</v>
      </c>
      <c r="M214" s="94">
        <f>J214/L214</f>
        <v>41945.01189716209</v>
      </c>
      <c r="N214" s="96">
        <f t="shared" ref="N214" si="36">K214/M214</f>
        <v>0.98847530741115297</v>
      </c>
      <c r="O214" s="94">
        <f>AVERAGEIF(O14:O213,"&lt;&gt;BLANK")</f>
        <v>1053.3620588235294</v>
      </c>
      <c r="P214" s="94">
        <f>AVERAGEIF(P14:P213,"&lt;&gt;BLANK")</f>
        <v>2682.029705882353</v>
      </c>
      <c r="Q214" s="94">
        <f>AVERAGEIF(Q14:Q213,"&lt;&gt;BLANK")</f>
        <v>1733.799705882353</v>
      </c>
      <c r="R214" s="97">
        <f>AVERAGEIF(R14:R213,"&lt;&gt;BLANK")</f>
        <v>4415.8294117647065</v>
      </c>
      <c r="S214" s="97" t="e">
        <f>AVERAGEIF(S14:S213,"&lt;&gt;BLANK")</f>
        <v>#DIV/0!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10</v>
      </c>
      <c r="AB214" s="101" t="e">
        <f>AVERAGEIF(AB14:AB213,"&lt;&gt;BLANK")</f>
        <v>#DIV/0!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baseColWidth="10" defaultColWidth="8.83203125" defaultRowHeight="15"/>
  <cols>
    <col min="1" max="1" width="36.5" customWidth="1"/>
    <col min="2" max="2" width="11.5" bestFit="1" customWidth="1"/>
    <col min="3" max="3" width="9" customWidth="1"/>
  </cols>
  <sheetData>
    <row r="1" spans="1:2" ht="22.5" customHeight="1">
      <c r="A1" s="33" t="s">
        <v>125</v>
      </c>
    </row>
    <row r="2" spans="1:2" ht="22.5" customHeight="1">
      <c r="A2" s="5" t="s">
        <v>126</v>
      </c>
      <c r="B2" s="14">
        <f>'Sales Log'!I214/'Scoreboard Total'!B3</f>
        <v>0.20588235294117646</v>
      </c>
    </row>
    <row r="3" spans="1:2" ht="22.5" customHeight="1">
      <c r="A3" s="5" t="s">
        <v>127</v>
      </c>
      <c r="B3" s="6">
        <f>'Sales Log'!D214</f>
        <v>34</v>
      </c>
    </row>
    <row r="4" spans="1:2" ht="21.75" customHeight="1">
      <c r="A4" s="5" t="s">
        <v>128</v>
      </c>
      <c r="B4" s="7">
        <f>'Sales Log'!$F$214</f>
        <v>63.5</v>
      </c>
    </row>
    <row r="5" spans="1:2" ht="22.5" customHeight="1">
      <c r="A5" s="5" t="s">
        <v>129</v>
      </c>
      <c r="B5" s="8">
        <f>'Sales Log'!$J$214</f>
        <v>42514.970588235294</v>
      </c>
    </row>
    <row r="6" spans="1:2" ht="22.5" customHeight="1">
      <c r="A6" s="5" t="s">
        <v>130</v>
      </c>
      <c r="B6" s="8">
        <f>'Sales Log'!$K$214</f>
        <v>41461.608529411766</v>
      </c>
    </row>
    <row r="7" spans="1:2" ht="22.5" customHeight="1">
      <c r="A7" s="5" t="s">
        <v>131</v>
      </c>
      <c r="B7" s="8">
        <f>'Sales Log'!$M$214</f>
        <v>41945.01189716209</v>
      </c>
    </row>
    <row r="8" spans="1:2" ht="22.5" customHeight="1">
      <c r="A8" s="5" t="s">
        <v>132</v>
      </c>
      <c r="B8" s="9">
        <f>'Sales Log'!L214</f>
        <v>1.0135882352941177</v>
      </c>
    </row>
    <row r="9" spans="1:2" ht="22.5" customHeight="1">
      <c r="A9" s="5" t="s">
        <v>133</v>
      </c>
      <c r="B9" s="9">
        <f>'Sales Log'!$N$214</f>
        <v>0.98847530741115297</v>
      </c>
    </row>
    <row r="10" spans="1:2" ht="22.5" customHeight="1">
      <c r="A10" s="5" t="s">
        <v>134</v>
      </c>
      <c r="B10" s="8">
        <f>'Sales Log'!$O$214</f>
        <v>1053.3620588235294</v>
      </c>
    </row>
    <row r="11" spans="1:2" ht="22.5" customHeight="1">
      <c r="A11" s="5" t="s">
        <v>135</v>
      </c>
      <c r="B11" s="8">
        <f>'Sales Log'!$P$214</f>
        <v>2682.029705882353</v>
      </c>
    </row>
    <row r="12" spans="1:2" ht="22.5" customHeight="1">
      <c r="A12" s="5" t="s">
        <v>136</v>
      </c>
      <c r="B12" s="8">
        <f>'Sales Log'!$Q$214</f>
        <v>1733.799705882353</v>
      </c>
    </row>
    <row r="13" spans="1:2" ht="22.5" customHeight="1">
      <c r="A13" s="5" t="s">
        <v>137</v>
      </c>
      <c r="B13" s="8">
        <f>'Sales Log'!$R$214</f>
        <v>4415.8294117647065</v>
      </c>
    </row>
    <row r="14" spans="1:2" ht="21.75" customHeight="1">
      <c r="A14" s="5" t="s">
        <v>138</v>
      </c>
      <c r="B14" s="10">
        <f>B13*B3</f>
        <v>150138.20000000001</v>
      </c>
    </row>
    <row r="15" spans="1:2" ht="21.75" customHeight="1">
      <c r="A15" s="5" t="s">
        <v>92</v>
      </c>
      <c r="B15" s="9">
        <f>(B13/(B6)*(360/B4))</f>
        <v>0.6038025133303111</v>
      </c>
    </row>
    <row r="16" spans="1:2" ht="21.75" customHeight="1">
      <c r="A16" s="5" t="s">
        <v>139</v>
      </c>
      <c r="B16" s="9">
        <f>'Sales Log'!AA214/'Scoreboard Total'!B3</f>
        <v>0.29411764705882354</v>
      </c>
    </row>
    <row r="17" spans="1:2" ht="21.75" customHeight="1">
      <c r="A17" s="5" t="s">
        <v>140</v>
      </c>
      <c r="B17" s="45" t="e">
        <f>'Sales Log'!$AB$214</f>
        <v>#DIV/0!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3" width="19.6640625" customWidth="1"/>
  </cols>
  <sheetData>
    <row r="1" spans="1:13" ht="22.5" customHeight="1">
      <c r="A1" s="20" t="s">
        <v>141</v>
      </c>
      <c r="B1" s="21"/>
      <c r="C1" s="43" t="s">
        <v>142</v>
      </c>
    </row>
    <row r="2" spans="1:13" ht="22.5" customHeight="1">
      <c r="A2" s="22" t="s">
        <v>94</v>
      </c>
      <c r="B2" s="22" t="s">
        <v>143</v>
      </c>
      <c r="C2" s="32" t="s">
        <v>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144</v>
      </c>
      <c r="B3" s="14">
        <f>COUNTIFS('Sales Log'!$I$14:$I$213,"No")/B4</f>
        <v>0.20588235294117646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34</v>
      </c>
      <c r="C4" s="40">
        <f>COUNTIF('Sales Log'!$U$14:$U$213,C2)</f>
        <v>0</v>
      </c>
      <c r="D4" s="40">
        <f>COUNTIF('Sales Log'!$U$14:$U$213,D2)</f>
        <v>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63.5</v>
      </c>
      <c r="C5" s="24" t="e">
        <f ca="1">AVERAGEIF('Sales Log'!$U$14:$U$213,C2,'Sales Log'!$F$14:$F$209)</f>
        <v>#DIV/0!</v>
      </c>
      <c r="D5" s="24" t="e">
        <f ca="1">AVERAGEIF('Sales Log'!$U$14:$U$213,D2,'Sales Log'!$F$14:$F$209)</f>
        <v>#DIV/0!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42514.970588235294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41461.608529411766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>
        <f>'Sales Log'!$M$214</f>
        <v>41945.01189716209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>
        <f>'Sales Log'!L214</f>
        <v>1.0135882352941177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>
        <f>'Sales Log'!$N$214</f>
        <v>0.98847530741115297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1053.3620588235294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2682.029705882353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1733.799705882353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4415.8294117647065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5" customHeight="1">
      <c r="A15" s="5" t="s">
        <v>138</v>
      </c>
      <c r="B15" s="10">
        <f>B14*B4</f>
        <v>150138.20000000001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0.6038025133303111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>
        <f>'Sales Log'!AA214/'Scoreboard Total'!B3</f>
        <v>0.29411764705882354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4" t="e">
        <f>'Sales Log'!$AB$214</f>
        <v>#DIV/0!</v>
      </c>
      <c r="C18" s="114" t="e">
        <f>AVERAGEIF('Sales Log'!$U$14:$U$213,C2,'Sales Log'!$AB$14:$AB$213)</f>
        <v>#DIV/0!</v>
      </c>
      <c r="D18" s="114" t="e">
        <f>AVERAGEIF('Sales Log'!$U$14:$U$213,D2,'Sales Log'!$AB$14:$AB$213)</f>
        <v>#DIV/0!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baseColWidth="10" defaultColWidth="8.83203125" defaultRowHeight="15"/>
  <cols>
    <col min="1" max="1" width="37.5" customWidth="1"/>
    <col min="2" max="2" width="13.5" customWidth="1"/>
    <col min="3" max="12" width="19.6640625" customWidth="1"/>
    <col min="13" max="63" width="18.5" customWidth="1"/>
  </cols>
  <sheetData>
    <row r="1" spans="1:63" ht="22.5" customHeight="1" thickBot="1">
      <c r="A1" s="20" t="s">
        <v>141</v>
      </c>
      <c r="B1" s="21"/>
      <c r="C1" s="43" t="s">
        <v>142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145</v>
      </c>
      <c r="B2" s="22" t="s">
        <v>143</v>
      </c>
      <c r="C2" s="31" t="s">
        <v>7</v>
      </c>
      <c r="D2" s="31" t="s">
        <v>10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144</v>
      </c>
      <c r="B3" s="14">
        <f>COUNTIFS('Sales Log'!$I$14:$I$213,"No")/B4</f>
        <v>0.20588235294117646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34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128</v>
      </c>
      <c r="B5" s="7">
        <f>'Sales Log'!$F$214</f>
        <v>63.5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42514.970588235294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41461.608529411766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>
        <f>'Sales Log'!$M$214</f>
        <v>41945.01189716209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>
        <f>'Sales Log'!L214</f>
        <v>1.0135882352941177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>
        <f>'Sales Log'!$N$214</f>
        <v>0.98847530741115297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1053.3620588235294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2682.029705882353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1733.799705882353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4415.8294117647065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150138.20000000001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0.6038025133303111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>
        <f>'Sales Log'!AA214/'Scoreboard Total'!B3</f>
        <v>0.29411764705882354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4" t="e">
        <f>'Sales Log'!$AB$214</f>
        <v>#DIV/0!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2" width="19.6640625" customWidth="1"/>
  </cols>
  <sheetData>
    <row r="1" spans="1:12" ht="22.5" customHeight="1">
      <c r="A1" s="20" t="s">
        <v>141</v>
      </c>
      <c r="B1" s="21"/>
      <c r="C1" s="43" t="s">
        <v>142</v>
      </c>
    </row>
    <row r="2" spans="1:12" ht="22.5" customHeight="1">
      <c r="A2" s="22" t="s">
        <v>95</v>
      </c>
      <c r="B2" s="22" t="s">
        <v>143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144</v>
      </c>
      <c r="B3" s="14">
        <f>COUNTIFS('Sales Log'!$I$14:$I$213,"No")/B4</f>
        <v>0.20588235294117646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34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128</v>
      </c>
      <c r="B5" s="7">
        <f>'Sales Log'!$F$214</f>
        <v>63.5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42514.970588235294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41461.608529411766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>
        <f>'Sales Log'!$M$214</f>
        <v>41945.01189716209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>
        <f>'Sales Log'!L214</f>
        <v>1.0135882352941177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>
        <f>'Sales Log'!$N$214</f>
        <v>0.98847530741115297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1053.3620588235294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2682.029705882353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1733.799705882353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4415.8294117647065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150138.20000000001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0.6038025133303111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0.29411764705882354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4" t="e">
        <f>'Sales Log'!$AB$214</f>
        <v>#DIV/0!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81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34</v>
      </c>
      <c r="C3" s="6">
        <f>COUNTIF('Sales Log'!$H$14:$H$213,C2)</f>
        <v>19</v>
      </c>
      <c r="D3" s="6">
        <f>COUNTIF('Sales Log'!$H$14:$H$213,D2)</f>
        <v>14</v>
      </c>
    </row>
    <row r="4" spans="1:4" ht="22.5" customHeight="1">
      <c r="A4" s="5" t="s">
        <v>128</v>
      </c>
      <c r="B4" s="7">
        <f>'Sales Log'!$F$214</f>
        <v>63.5</v>
      </c>
      <c r="C4" s="24">
        <f ca="1">AVERAGEIF('Sales Log'!$H$14:$H$213,C2,'Sales Log'!$F$14:$F$209)</f>
        <v>73.21052631578948</v>
      </c>
      <c r="D4" s="24">
        <f ca="1">AVERAGEIF('Sales Log'!$H$14:$H$213,D2,'Sales Log'!$F$14:$F$209)</f>
        <v>49.857142857142854</v>
      </c>
    </row>
    <row r="5" spans="1:4" ht="22.5" customHeight="1">
      <c r="A5" s="5" t="s">
        <v>129</v>
      </c>
      <c r="B5" s="8">
        <f>'Sales Log'!$J$214</f>
        <v>42514.970588235294</v>
      </c>
      <c r="C5" s="8">
        <f>AVERAGEIF('Sales Log'!$H$14:$H$213,C2,'Sales Log'!J14:J213)</f>
        <v>35639.315789473687</v>
      </c>
      <c r="D5" s="8">
        <f>AVERAGEIF('Sales Log'!$H$14:$H$213,D2,'Sales Log'!K14:K213)</f>
        <v>51410.477857142854</v>
      </c>
    </row>
    <row r="6" spans="1:4" ht="22.5" customHeight="1">
      <c r="A6" s="5" t="s">
        <v>130</v>
      </c>
      <c r="B6" s="8">
        <f>'Sales Log'!$K$214</f>
        <v>41461.608529411766</v>
      </c>
      <c r="C6" s="8">
        <f>AVERAGEIF('Sales Log'!$H$14:$H$213,C2,'Sales Log'!$K$14:$K$213)</f>
        <v>34645.315789473687</v>
      </c>
      <c r="D6" s="8">
        <f>AVERAGEIF('Sales Log'!$H$14:$H$213,D2,'Sales Log'!$K$14:$K$213)</f>
        <v>51410.477857142854</v>
      </c>
    </row>
    <row r="7" spans="1:4" ht="22.5" customHeight="1">
      <c r="A7" s="5" t="s">
        <v>131</v>
      </c>
      <c r="B7" s="8">
        <f>'Sales Log'!$M$214</f>
        <v>41945.01189716209</v>
      </c>
      <c r="C7" s="8">
        <f>AVERAGEIF('Sales Log'!$H$14:$H$213,C2,'Sales Log'!$M$14:$M$213)</f>
        <v>35426.685785224254</v>
      </c>
      <c r="D7" s="8">
        <f>AVERAGEIF('Sales Log'!$H$14:$H$213,D2,'Sales Log'!$M$14:$M$213)</f>
        <v>51323.814433982167</v>
      </c>
    </row>
    <row r="8" spans="1:4" ht="22.5" customHeight="1">
      <c r="A8" s="5" t="s">
        <v>132</v>
      </c>
      <c r="B8" s="9">
        <f>'Sales Log'!L214</f>
        <v>1.0135882352941177</v>
      </c>
      <c r="C8" s="14">
        <f>C5/C7</f>
        <v>1.0060019727935747</v>
      </c>
      <c r="D8" s="14">
        <f>D5/D7</f>
        <v>1.0016885616183528</v>
      </c>
    </row>
    <row r="9" spans="1:4" ht="22.5" customHeight="1">
      <c r="A9" s="5" t="s">
        <v>133</v>
      </c>
      <c r="B9" s="9">
        <f>'Sales Log'!$N$214</f>
        <v>0.98847530741115297</v>
      </c>
      <c r="C9" s="14">
        <f>C6/C7</f>
        <v>0.9779440278301037</v>
      </c>
      <c r="D9" s="14">
        <f>D6/D7</f>
        <v>1.0016885616183528</v>
      </c>
    </row>
    <row r="10" spans="1:4" ht="22.5" customHeight="1">
      <c r="A10" s="5" t="s">
        <v>134</v>
      </c>
      <c r="B10" s="8">
        <f>'Sales Log'!$O$214</f>
        <v>1053.3620588235294</v>
      </c>
      <c r="C10" s="8">
        <f>AVERAGEIF('Sales Log'!$H$14:$H$213,C2,'Sales Log'!$O$14:$O$213)</f>
        <v>994</v>
      </c>
      <c r="D10" s="8">
        <f>AVERAGEIF('Sales Log'!$H$14:$H$213,D2,'Sales Log'!$O$14:$O$213)</f>
        <v>1044.6649999999997</v>
      </c>
    </row>
    <row r="11" spans="1:4" ht="22.5" customHeight="1">
      <c r="A11" s="5" t="s">
        <v>135</v>
      </c>
      <c r="B11" s="8">
        <f>'Sales Log'!$P$214</f>
        <v>2682.029705882353</v>
      </c>
      <c r="C11" s="8">
        <f>AVERAGEIF('Sales Log'!$H$14:$H$213,C2,'Sales Log'!$P$14:$P$213)</f>
        <v>2460.7268421052631</v>
      </c>
      <c r="D11" s="8">
        <f>AVERAGEIF('Sales Log'!$H$14:$H$213,D2,'Sales Log'!$P$14:$P$213)</f>
        <v>3174.8714285714282</v>
      </c>
    </row>
    <row r="12" spans="1:4" ht="22.5" customHeight="1">
      <c r="A12" s="5" t="s">
        <v>136</v>
      </c>
      <c r="B12" s="8">
        <f>'Sales Log'!$Q$214</f>
        <v>1733.799705882353</v>
      </c>
      <c r="C12" s="8">
        <f>AVERAGEIF('Sales Log'!$H$14:$H$213,C2,'Sales Log'!$Q$14:$Q$213)</f>
        <v>1660.9047368421054</v>
      </c>
      <c r="D12" s="8">
        <f>AVERAGEIF('Sales Log'!$H$14:$H$213,D2,'Sales Log'!$Q$14:$Q$213)</f>
        <v>1883</v>
      </c>
    </row>
    <row r="13" spans="1:4" ht="22.5" customHeight="1">
      <c r="A13" s="5" t="s">
        <v>137</v>
      </c>
      <c r="B13" s="8">
        <f>'Sales Log'!$R$214</f>
        <v>4415.8294117647065</v>
      </c>
      <c r="C13" s="8">
        <f>AVERAGEIF('Sales Log'!$H$14:$H$213,C2,'Sales Log'!$R$14:$R$213)</f>
        <v>4121.6315789473683</v>
      </c>
      <c r="D13" s="8">
        <f>AVERAGEIF('Sales Log'!$H$14:$H$213,D2,'Sales Log'!$R$14:$R$213)</f>
        <v>5057.8714285714286</v>
      </c>
    </row>
    <row r="14" spans="1:4" ht="22.5" customHeight="1">
      <c r="A14" s="5" t="s">
        <v>138</v>
      </c>
      <c r="B14" s="10">
        <f>B13*B3</f>
        <v>150138.20000000001</v>
      </c>
      <c r="C14" s="10">
        <f>C13*C3</f>
        <v>78311</v>
      </c>
      <c r="D14" s="10">
        <f t="shared" ref="D14" si="0">D13*D3</f>
        <v>70810.2</v>
      </c>
    </row>
    <row r="15" spans="1:4" ht="22.5" customHeight="1">
      <c r="A15" s="5" t="s">
        <v>92</v>
      </c>
      <c r="B15" s="9">
        <f>(B13/(B6)*(360/B4))</f>
        <v>0.6038025133303111</v>
      </c>
      <c r="C15" s="9">
        <f t="shared" ref="C15:D15" ca="1" si="1">(C13/(C6)*(360/C4))</f>
        <v>0.58499696951660574</v>
      </c>
      <c r="D15" s="9">
        <f t="shared" ca="1" si="1"/>
        <v>0.71038087136224604</v>
      </c>
    </row>
    <row r="16" spans="1:4" ht="22.5" customHeight="1">
      <c r="A16" s="5" t="s">
        <v>139</v>
      </c>
      <c r="B16" s="9">
        <f>'Sales Log'!AA214/'Scoreboard Total'!B3</f>
        <v>0.29411764705882354</v>
      </c>
      <c r="C16" s="9">
        <f>COUNTIFS('Sales Log'!$H$14:$H$213,C2,'Sales Log'!$AA$14:$AA$213,"Yes")/C$3</f>
        <v>0.21052631578947367</v>
      </c>
      <c r="D16" s="9">
        <f>COUNTIFS('Sales Log'!$H$14:$H$213,D2,'Sales Log'!$AA$14:$AA$213,"Yes")/D$3</f>
        <v>0.42857142857142855</v>
      </c>
    </row>
    <row r="17" spans="1:4" ht="22.5" customHeight="1">
      <c r="A17" s="5" t="s">
        <v>140</v>
      </c>
      <c r="B17" s="114" t="e">
        <f>'Sales Log'!$AB$214</f>
        <v>#DIV/0!</v>
      </c>
      <c r="C17" s="114" t="e">
        <f>AVERAGEIF('Sales Log'!$H$14:$H$213,C2,'Sales Log'!$AB$14:$AB$213)</f>
        <v>#DIV/0!</v>
      </c>
      <c r="D17" s="114" t="e">
        <f>AVERAGEIF('Sales Log'!$H$14:$H$213,D2,'Sales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82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34</v>
      </c>
      <c r="C3" s="6">
        <f>COUNTIF('Sales Log'!$I$14:$I$213,C2)</f>
        <v>27</v>
      </c>
      <c r="D3" s="6">
        <f>COUNTIF('Sales Log'!$I$14:$I$213,D2)</f>
        <v>7</v>
      </c>
    </row>
    <row r="4" spans="1:4" ht="22.5" customHeight="1">
      <c r="A4" s="5" t="s">
        <v>128</v>
      </c>
      <c r="B4" s="7">
        <f>'Sales Log'!$F$214</f>
        <v>63.5</v>
      </c>
      <c r="C4" s="24">
        <f ca="1">AVERAGEIF('Sales Log'!$I$14:$I$213,C2,'Sales Log'!$F$14:$F$209)</f>
        <v>62.444444444444443</v>
      </c>
      <c r="D4" s="24">
        <f ca="1">AVERAGEIF('Sales Log'!$I$14:$I$213,D2,'Sales Log'!$F$14:$F$209)</f>
        <v>67.571428571428569</v>
      </c>
    </row>
    <row r="5" spans="1:4" ht="22.5" customHeight="1">
      <c r="A5" s="5" t="s">
        <v>129</v>
      </c>
      <c r="B5" s="8">
        <f>'Sales Log'!$J$214</f>
        <v>42514.970588235294</v>
      </c>
      <c r="C5" s="8">
        <f>AVERAGEIF('Sales Log'!$I$14:$I$213,C2,'Sales Log'!J14:J213)</f>
        <v>43427.851851851854</v>
      </c>
      <c r="D5" s="8">
        <f>AVERAGEIF('Sales Log'!$I$14:$I$213,D2,'Sales Log'!K14:K213)</f>
        <v>37607.857142857145</v>
      </c>
    </row>
    <row r="6" spans="1:4" ht="22.5" customHeight="1">
      <c r="A6" s="5" t="s">
        <v>130</v>
      </c>
      <c r="B6" s="8">
        <f>'Sales Log'!$K$214</f>
        <v>41461.608529411766</v>
      </c>
      <c r="C6" s="8">
        <f>AVERAGEIF('Sales Log'!$I$14:$I$213,C2,'Sales Log'!$K$14:$K$213)</f>
        <v>42460.729259259257</v>
      </c>
      <c r="D6" s="8">
        <f>AVERAGEIF('Sales Log'!$I$14:$I$213,D2,'Sales Log'!$K$14:$K$213)</f>
        <v>37607.857142857145</v>
      </c>
    </row>
    <row r="7" spans="1:4" ht="22.5" customHeight="1">
      <c r="A7" s="5" t="s">
        <v>131</v>
      </c>
      <c r="B7" s="8">
        <f>'Sales Log'!$M$214</f>
        <v>41945.01189716209</v>
      </c>
      <c r="C7" s="8">
        <f>AVERAGEIF('Sales Log'!$I$14:$I$213,C2,'Sales Log'!$M$14:$M$213)</f>
        <v>42859.102139177783</v>
      </c>
      <c r="D7" s="8">
        <f>AVERAGEIF('Sales Log'!$I$14:$I$213,D2,'Sales Log'!$M$14:$M$213)</f>
        <v>37988.128065633333</v>
      </c>
    </row>
    <row r="8" spans="1:4" ht="22.5" customHeight="1">
      <c r="A8" s="5" t="s">
        <v>132</v>
      </c>
      <c r="B8" s="9">
        <f>'Sales Log'!L214</f>
        <v>1.0135882352941177</v>
      </c>
      <c r="C8" s="14">
        <f>C5/C7</f>
        <v>1.0132702199599783</v>
      </c>
      <c r="D8" s="14">
        <f>D5/D7</f>
        <v>0.98998974305553611</v>
      </c>
    </row>
    <row r="9" spans="1:4" ht="22.5" customHeight="1">
      <c r="A9" s="5" t="s">
        <v>133</v>
      </c>
      <c r="B9" s="9">
        <f>'Sales Log'!$N$214</f>
        <v>0.98847530741115297</v>
      </c>
      <c r="C9" s="14">
        <f>C6/C7</f>
        <v>0.99070505773488027</v>
      </c>
      <c r="D9" s="14">
        <f>D6/D7</f>
        <v>0.98998974305553611</v>
      </c>
    </row>
    <row r="10" spans="1:4" ht="22.5" customHeight="1">
      <c r="A10" s="5" t="s">
        <v>134</v>
      </c>
      <c r="B10" s="8">
        <f>'Sales Log'!$O$214</f>
        <v>1053.3620588235294</v>
      </c>
      <c r="C10" s="8">
        <f>AVERAGEIF('Sales Log'!$I$14:$I$213,C2,'Sales Log'!$O$14:$O$213)</f>
        <v>967.12259259259247</v>
      </c>
      <c r="D10" s="8">
        <f>AVERAGEIF('Sales Log'!$I$14:$I$213,D2,'Sales Log'!$O$14:$O$213)</f>
        <v>1386</v>
      </c>
    </row>
    <row r="11" spans="1:4" ht="22.5" customHeight="1">
      <c r="A11" s="5" t="s">
        <v>135</v>
      </c>
      <c r="B11" s="8">
        <f>'Sales Log'!$P$214</f>
        <v>2682.029705882353</v>
      </c>
      <c r="C11" s="8">
        <f>AVERAGEIF('Sales Log'!$I$14:$I$213,C2,'Sales Log'!$P$14:$P$213)</f>
        <v>2888.6985185185185</v>
      </c>
      <c r="D11" s="8">
        <f>AVERAGEIF('Sales Log'!$I$14:$I$213,D2,'Sales Log'!$P$14:$P$213)</f>
        <v>1884.8785714285714</v>
      </c>
    </row>
    <row r="12" spans="1:4" ht="22.5" customHeight="1">
      <c r="A12" s="5" t="s">
        <v>136</v>
      </c>
      <c r="B12" s="8">
        <f>'Sales Log'!$Q$214</f>
        <v>1733.799705882353</v>
      </c>
      <c r="C12" s="8">
        <f>AVERAGEIF('Sales Log'!$I$14:$I$213,C2,'Sales Log'!$Q$14:$Q$213)</f>
        <v>1652.4885185185185</v>
      </c>
      <c r="D12" s="8">
        <f>AVERAGEIF('Sales Log'!$I$14:$I$213,D2,'Sales Log'!$Q$14:$Q$213)</f>
        <v>2047.4285714285713</v>
      </c>
    </row>
    <row r="13" spans="1:4" ht="22.5" customHeight="1">
      <c r="A13" s="5" t="s">
        <v>137</v>
      </c>
      <c r="B13" s="8">
        <f>'Sales Log'!$R$214</f>
        <v>4415.8294117647065</v>
      </c>
      <c r="C13" s="8">
        <f>AVERAGEIF('Sales Log'!$I$14:$I$213,C2,'Sales Log'!$R$14:$R$213)</f>
        <v>4541.187037037037</v>
      </c>
      <c r="D13" s="8">
        <f>AVERAGEIF('Sales Log'!$I$14:$I$213,D2,'Sales Log'!$R$14:$R$213)</f>
        <v>3932.3071428571429</v>
      </c>
    </row>
    <row r="14" spans="1:4" ht="22.5" customHeight="1">
      <c r="A14" s="5" t="s">
        <v>138</v>
      </c>
      <c r="B14" s="10">
        <f>B13*B3</f>
        <v>150138.20000000001</v>
      </c>
      <c r="C14" s="10">
        <f>C13*C3</f>
        <v>122612.05</v>
      </c>
      <c r="D14" s="10">
        <f t="shared" ref="D14" si="0">D13*D3</f>
        <v>27526.15</v>
      </c>
    </row>
    <row r="15" spans="1:4" ht="22.5" customHeight="1">
      <c r="A15" s="5" t="s">
        <v>92</v>
      </c>
      <c r="B15" s="9">
        <f>(B13/(B6)*(360/B4))</f>
        <v>0.6038025133303111</v>
      </c>
      <c r="C15" s="9">
        <f t="shared" ref="C15:D15" ca="1" si="1">(C13/(C6)*(360/C4))</f>
        <v>0.61658170628541586</v>
      </c>
      <c r="D15" s="9">
        <f t="shared" ca="1" si="1"/>
        <v>0.55706804104718755</v>
      </c>
    </row>
    <row r="16" spans="1:4" ht="22.5" customHeight="1">
      <c r="A16" s="5" t="s">
        <v>139</v>
      </c>
      <c r="B16" s="9">
        <f>'Sales Log'!AA214/'Scoreboard Total'!B3</f>
        <v>0.29411764705882354</v>
      </c>
      <c r="C16" s="9">
        <f>COUNTIFS('Sales Log'!$I$14:$I$213,C2,'Sales Log'!$AA$14:$AA$213,"Yes")/C$3</f>
        <v>0.29629629629629628</v>
      </c>
      <c r="D16" s="9">
        <f>COUNTIFS('Sales Log'!$I$14:$I$213,D2,'Sales Log'!$AA$14:$AA$213,"Yes")/D$3</f>
        <v>0.2857142857142857</v>
      </c>
    </row>
    <row r="17" spans="1:4" ht="22.5" customHeight="1">
      <c r="A17" s="5" t="s">
        <v>140</v>
      </c>
      <c r="B17" s="114" t="e">
        <f>'Sales Log'!$AB$214</f>
        <v>#DIV/0!</v>
      </c>
      <c r="C17" s="114" t="e">
        <f>AVERAGEIF('Sales Log'!$I$14:$I$213,C2,'Sales Log'!$AB$14:$AB$213)</f>
        <v>#DIV/0!</v>
      </c>
      <c r="D17" s="114" t="e">
        <f>AVERAGEIF('Sales Log'!$I$14:$I$213,D2,'Sales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baseColWidth="10" defaultColWidth="8.83203125" defaultRowHeight="15"/>
  <cols>
    <col min="1" max="1" width="31.33203125" bestFit="1" customWidth="1"/>
    <col min="2" max="2" width="10.6640625" customWidth="1"/>
    <col min="3" max="9" width="20.6640625" customWidth="1"/>
    <col min="10" max="10" width="28.5" bestFit="1" customWidth="1"/>
    <col min="11" max="11" width="20.6640625" customWidth="1"/>
  </cols>
  <sheetData>
    <row r="1" spans="1:11" ht="22.5" customHeight="1">
      <c r="A1" s="25" t="s">
        <v>141</v>
      </c>
      <c r="B1" s="21"/>
    </row>
    <row r="2" spans="1:11" ht="22.5" customHeight="1">
      <c r="A2" s="28" t="s">
        <v>146</v>
      </c>
      <c r="B2" s="22" t="s">
        <v>143</v>
      </c>
      <c r="C2" s="32" t="s">
        <v>105</v>
      </c>
      <c r="D2" s="32" t="s">
        <v>112</v>
      </c>
      <c r="E2" s="32" t="s">
        <v>147</v>
      </c>
      <c r="F2" s="32" t="s">
        <v>148</v>
      </c>
      <c r="G2" s="32" t="s">
        <v>117</v>
      </c>
      <c r="H2" s="32" t="s">
        <v>149</v>
      </c>
      <c r="I2" s="32" t="s">
        <v>150</v>
      </c>
      <c r="J2" s="32" t="s">
        <v>121</v>
      </c>
      <c r="K2" s="32" t="s">
        <v>122</v>
      </c>
    </row>
    <row r="3" spans="1:11" ht="22.5" customHeight="1">
      <c r="A3" s="5" t="s">
        <v>127</v>
      </c>
      <c r="B3" s="6">
        <f>'Scoreboard Total'!B3</f>
        <v>34</v>
      </c>
      <c r="C3" s="6">
        <f>COUNTIF('Sales Log'!$G$14:$G$213,'Scoreboard by Source'!C2)</f>
        <v>14</v>
      </c>
      <c r="D3" s="6">
        <f>COUNTIF('Sales Log'!$G$14:$G$213,'Scoreboard by Source'!D2)</f>
        <v>3</v>
      </c>
      <c r="E3" s="6">
        <f>COUNTIF('Sales Log'!$G$14:$G$213,'Scoreboard by Source'!E2)</f>
        <v>6</v>
      </c>
      <c r="F3" s="6">
        <f>COUNTIF('Sales Log'!$G$14:$G$213,'Scoreboard by Source'!F2)</f>
        <v>4</v>
      </c>
      <c r="G3" s="6">
        <f>COUNTIF('Sales Log'!$G$14:$G$213,'Scoreboard by Source'!G2)</f>
        <v>2</v>
      </c>
      <c r="H3" s="6">
        <f>COUNTIF('Sales Log'!$G$14:$G$213,'Scoreboard by Source'!H2)</f>
        <v>1</v>
      </c>
      <c r="I3" s="6">
        <f>COUNTIF('Sales Log'!$G$14:$G$213,'Scoreboard by Source'!I2)</f>
        <v>0</v>
      </c>
      <c r="J3" s="6">
        <f>COUNTIF('Sales Log'!$G$14:$G$213,'Scoreboard by Source'!J2)</f>
        <v>1</v>
      </c>
      <c r="K3" s="6">
        <f>COUNTIF('Sales Log'!$G$14:$G$213,'Scoreboard by Source'!K2)</f>
        <v>3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0.41176470588235292</v>
      </c>
      <c r="D4" s="9">
        <f>D3/'Sales Log'!$D$214</f>
        <v>8.8235294117647065E-2</v>
      </c>
      <c r="E4" s="9">
        <f>E3/'Sales Log'!$D$214</f>
        <v>0.17647058823529413</v>
      </c>
      <c r="F4" s="9">
        <f>F3/'Sales Log'!$D$214</f>
        <v>0.11764705882352941</v>
      </c>
      <c r="G4" s="9">
        <f>G3/'Sales Log'!$D$214</f>
        <v>5.8823529411764705E-2</v>
      </c>
      <c r="H4" s="9">
        <f>H3/'Sales Log'!$D$214</f>
        <v>2.9411764705882353E-2</v>
      </c>
      <c r="I4" s="9">
        <f>I3/'Sales Log'!$D$214</f>
        <v>0</v>
      </c>
      <c r="J4" s="9">
        <f>J3/'Sales Log'!$D$214</f>
        <v>2.9411764705882353E-2</v>
      </c>
      <c r="K4" s="9">
        <f>K3/'Sales Log'!$D$214</f>
        <v>8.8235294117647065E-2</v>
      </c>
    </row>
    <row r="5" spans="1:11" ht="22.5" customHeight="1">
      <c r="A5" s="5" t="s">
        <v>144</v>
      </c>
      <c r="B5" s="14">
        <f>COUNTIFS('Sales Log'!$I$14:$I$213,"No")/B3</f>
        <v>0.20588235294117646</v>
      </c>
      <c r="C5" s="14">
        <f>COUNTIFS('Sales Log'!$I$14:$I$213,"No",'Sales Log'!$G$14:$G$213,'Scoreboard by Source'!C2)/C3</f>
        <v>0.14285714285714285</v>
      </c>
      <c r="D5" s="14">
        <f>COUNTIFS('Sales Log'!$I$14:$I$213,"No",'Sales Log'!$G$14:$G$213,'Scoreboard by Source'!D2)/D3</f>
        <v>0.33333333333333331</v>
      </c>
      <c r="E5" s="14">
        <f>COUNTIFS('Sales Log'!$I$14:$I$213,"No",'Sales Log'!$G$14:$G$213,'Scoreboard by Source'!E2)/E3</f>
        <v>0.16666666666666666</v>
      </c>
      <c r="F5" s="14">
        <f>COUNTIFS('Sales Log'!$I$14:$I$213,"No",'Sales Log'!$G$14:$G$213,'Scoreboard by Source'!F2)/F3</f>
        <v>0.5</v>
      </c>
      <c r="G5" s="14">
        <f>COUNTIFS('Sales Log'!$I$14:$I$213,"No",'Sales Log'!$G$14:$G$213,'Scoreboard by Source'!G2)/G3</f>
        <v>0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>
        <f>COUNTIFS('Sales Log'!$I$14:$I$213,"No",'Sales Log'!$G$14:$G$213,'Scoreboard by Source'!J2)/J3</f>
        <v>0</v>
      </c>
      <c r="K5" s="14">
        <f>COUNTIFS('Sales Log'!$I$14:$I$213,"No",'Sales Log'!$G$14:$G$213,'Scoreboard by Source'!K2)/K3</f>
        <v>0.33333333333333331</v>
      </c>
    </row>
    <row r="6" spans="1:11" s="4" customFormat="1" ht="21.75" customHeight="1">
      <c r="A6" s="11" t="s">
        <v>128</v>
      </c>
      <c r="B6" s="7">
        <f>'Sales Log'!$F$214</f>
        <v>63.5</v>
      </c>
      <c r="C6" s="24">
        <f ca="1">AVERAGEIF('Sales Log'!$G$14:$G$213,C2,'Sales Log'!$F$14:$F$209)</f>
        <v>47.928571428571431</v>
      </c>
      <c r="D6" s="24">
        <f ca="1">AVERAGEIF('Sales Log'!$G$14:$G$213,D2,'Sales Log'!$F$14:$F$209)</f>
        <v>48.666666666666664</v>
      </c>
      <c r="E6" s="24">
        <f ca="1">AVERAGEIF('Sales Log'!$G$14:$G$213,E2,'Sales Log'!$F$14:$F$209)</f>
        <v>23.833333333333332</v>
      </c>
      <c r="F6" s="24">
        <f ca="1">AVERAGEIF('Sales Log'!$G$14:$G$213,F2,'Sales Log'!$F$14:$F$209)</f>
        <v>96</v>
      </c>
      <c r="G6" s="24">
        <f ca="1">AVERAGEIF('Sales Log'!$G$14:$G$213,G2,'Sales Log'!$F$14:$F$209)</f>
        <v>336.5</v>
      </c>
      <c r="H6" s="24">
        <f ca="1">AVERAGEIF('Sales Log'!$G$14:$G$213,H2,'Sales Log'!$F$14:$F$209)</f>
        <v>32</v>
      </c>
      <c r="I6" s="24" t="e">
        <f ca="1">AVERAGEIF('Sales Log'!$G$14:$G$213,I2,'Sales Log'!$F$14:$F$209)</f>
        <v>#DIV/0!</v>
      </c>
      <c r="J6" s="24">
        <f ca="1">AVERAGEIF('Sales Log'!$G$14:$G$213,J2,'Sales Log'!$F$14:$F$209)</f>
        <v>106</v>
      </c>
      <c r="K6" s="24">
        <f ca="1">AVERAGEIF('Sales Log'!$G$14:$G$213,K2,'Sales Log'!$F$14:$F$209)</f>
        <v>1.3333333333333333</v>
      </c>
    </row>
    <row r="7" spans="1:11" ht="22.5" customHeight="1">
      <c r="A7" s="5" t="s">
        <v>130</v>
      </c>
      <c r="B7" s="8">
        <f>'Sales Log'!$K$214</f>
        <v>41461.608529411766</v>
      </c>
      <c r="C7" s="8">
        <f>AVERAGEIF('Sales Log'!$G$14:$G$213,C2,'Sales Log'!$K$14:$K$213)</f>
        <v>38150.714285714283</v>
      </c>
      <c r="D7" s="8">
        <f>AVERAGEIF('Sales Log'!$G$14:$G$213,D2,'Sales Log'!$K$14:$K$213)</f>
        <v>38704.333333333336</v>
      </c>
      <c r="E7" s="8">
        <f>AVERAGEIF('Sales Log'!$G$14:$G$213,E2,'Sales Log'!$K$14:$K$213)</f>
        <v>44307</v>
      </c>
      <c r="F7" s="8">
        <f>AVERAGEIF('Sales Log'!$G$14:$G$213,F2,'Sales Log'!$K$14:$K$213)</f>
        <v>36986.75</v>
      </c>
      <c r="G7" s="8">
        <f>AVERAGEIF('Sales Log'!$G$14:$G$213,G2,'Sales Log'!$K$14:$K$213)</f>
        <v>35370</v>
      </c>
      <c r="H7" s="8">
        <f>AVERAGEIF('Sales Log'!$G$14:$G$213,H2,'Sales Log'!$K$14:$K$213)</f>
        <v>48750</v>
      </c>
      <c r="I7" s="8" t="e">
        <f>AVERAGEIF('Sales Log'!$G$14:$G$213,I2,'Sales Log'!$K$14:$K$213)</f>
        <v>#DIV/0!</v>
      </c>
      <c r="J7" s="8">
        <f>AVERAGEIF('Sales Log'!$G$14:$G$213,J2,'Sales Log'!$K$14:$K$213)</f>
        <v>23179</v>
      </c>
      <c r="K7" s="8">
        <f>AVERAGEIF('Sales Log'!$G$14:$G$213,K2,'Sales Log'!$K$14:$K$213)</f>
        <v>67671.23</v>
      </c>
    </row>
    <row r="8" spans="1:11" ht="22.5" customHeight="1">
      <c r="A8" s="5" t="s">
        <v>152</v>
      </c>
      <c r="B8" s="9">
        <f>'Sales Log'!$N$214</f>
        <v>0.98847530741115297</v>
      </c>
      <c r="C8" s="14">
        <f>AVERAGEIF('Sales Log'!$G$14:$G$213,C2,'Sales Log'!$N14:$N$213)</f>
        <v>0.98931221006786785</v>
      </c>
      <c r="D8" s="14">
        <f>AVERAGEIF('Sales Log'!$G$14:$G$213,D2,'Sales Log'!$N14:$N$213)</f>
        <v>0.97028974038260074</v>
      </c>
      <c r="E8" s="14">
        <f>AVERAGEIF('Sales Log'!$G$14:$G$213,E2,'Sales Log'!$N14:$N$213)</f>
        <v>0.96990448647888095</v>
      </c>
      <c r="F8" s="14">
        <f>AVERAGEIF('Sales Log'!$G$14:$G$213,F2,'Sales Log'!$N14:$N$213)</f>
        <v>1.0060860533169222</v>
      </c>
      <c r="G8" s="14">
        <f>AVERAGEIF('Sales Log'!$G$14:$G$213,G2,'Sales Log'!$N14:$N$213)</f>
        <v>0.96522263140274522</v>
      </c>
      <c r="H8" s="14">
        <f>AVERAGEIF('Sales Log'!$G$14:$G$213,H2,'Sales Log'!$N14:$N$213)</f>
        <v>0.98672344689378755</v>
      </c>
      <c r="I8" s="14" t="e">
        <f>AVERAGEIF('Sales Log'!$G$14:$G$213,I2,'Sales Log'!$N14:$N$213)</f>
        <v>#DIV/0!</v>
      </c>
      <c r="J8" s="14">
        <f>AVERAGEIF('Sales Log'!$G$14:$G$213,J2,'Sales Log'!$N14:$N$213)</f>
        <v>0.93142904981163666</v>
      </c>
      <c r="K8" s="14">
        <f>AVERAGEIF('Sales Log'!$G$14:$G$213,K2,'Sales Log'!$N14:$N$213)</f>
        <v>1.0167449945116906</v>
      </c>
    </row>
    <row r="9" spans="1:11" ht="22.5" customHeight="1">
      <c r="A9" s="5" t="s">
        <v>134</v>
      </c>
      <c r="B9" s="8">
        <f>'Sales Log'!$O$214</f>
        <v>1053.3620588235294</v>
      </c>
      <c r="C9" s="8">
        <f>AVERAGEIF('Sales Log'!$G$14:$G$213,C2,'Sales Log'!$O$14:$O$213)</f>
        <v>855.14285714285711</v>
      </c>
      <c r="D9" s="8">
        <f>AVERAGEIF('Sales Log'!$G$14:$G$213,D2,'Sales Log'!$O$14:$O$213)</f>
        <v>862.33333333333337</v>
      </c>
      <c r="E9" s="8">
        <f>AVERAGEIF('Sales Log'!$G$14:$G$213,E2,'Sales Log'!$O$14:$O$213)</f>
        <v>798.33333333333337</v>
      </c>
      <c r="F9" s="8">
        <f>AVERAGEIF('Sales Log'!$G$14:$G$213,F2,'Sales Log'!$O$14:$O$213)</f>
        <v>1903.25</v>
      </c>
      <c r="G9" s="8">
        <f>AVERAGEIF('Sales Log'!$G$14:$G$213,G2,'Sales Log'!$O$14:$O$213)</f>
        <v>1060</v>
      </c>
      <c r="H9" s="8">
        <f>AVERAGEIF('Sales Log'!$G$14:$G$213,H2,'Sales Log'!$O$14:$O$213)</f>
        <v>1150</v>
      </c>
      <c r="I9" s="8" t="e">
        <f>AVERAGEIF('Sales Log'!$G$14:$G$213,I2,'Sales Log'!$O$14:$O$213)</f>
        <v>#DIV/0!</v>
      </c>
      <c r="J9" s="8">
        <f>AVERAGEIF('Sales Log'!$G$14:$G$213,J2,'Sales Log'!$O$14:$O$213)</f>
        <v>711</v>
      </c>
      <c r="K9" s="8">
        <f>AVERAGEIF('Sales Log'!$G$14:$G$213,K2,'Sales Log'!$O$14:$O$213)</f>
        <v>1623.7699999999993</v>
      </c>
    </row>
    <row r="10" spans="1:11" ht="22.5" customHeight="1">
      <c r="A10" s="5" t="s">
        <v>153</v>
      </c>
      <c r="B10" s="8">
        <f>'Sales Log'!$P$214</f>
        <v>2682.029705882353</v>
      </c>
      <c r="C10" s="8">
        <f>AVERAGEIF('Sales Log'!$G$14:$G$213,C2,'Sales Log'!$P$14:$P$213)</f>
        <v>3119.5714285714284</v>
      </c>
      <c r="D10" s="8">
        <f>AVERAGEIF('Sales Log'!$G$14:$G$213,D2,'Sales Log'!$P$14:$P$213)</f>
        <v>3752.6666666666665</v>
      </c>
      <c r="E10" s="8">
        <f>AVERAGEIF('Sales Log'!$G$14:$G$213,E2,'Sales Log'!$P$14:$P$213)</f>
        <v>2473</v>
      </c>
      <c r="F10" s="8">
        <f>AVERAGEIF('Sales Log'!$G$14:$G$213,F2,'Sales Log'!$P$14:$P$213)</f>
        <v>1077.4524999999999</v>
      </c>
      <c r="G10" s="8">
        <f>AVERAGEIF('Sales Log'!$G$14:$G$213,G2,'Sales Log'!$P$14:$P$213)</f>
        <v>1824</v>
      </c>
      <c r="H10" s="8">
        <f>AVERAGEIF('Sales Log'!$G$14:$G$213,H2,'Sales Log'!$P$14:$P$213)</f>
        <v>4062</v>
      </c>
      <c r="I10" s="8" t="e">
        <f>AVERAGEIF('Sales Log'!$G$14:$G$213,I2,'Sales Log'!$P$14:$P$213)</f>
        <v>#DIV/0!</v>
      </c>
      <c r="J10" s="8">
        <f>AVERAGEIF('Sales Log'!$G$14:$G$213,J2,'Sales Log'!$P$14:$P$213)</f>
        <v>-607</v>
      </c>
      <c r="K10" s="8">
        <f>AVERAGEIF('Sales Log'!$G$14:$G$213,K2,'Sales Log'!$P$14:$P$213)</f>
        <v>3335.4</v>
      </c>
    </row>
    <row r="11" spans="1:11" ht="22.5" customHeight="1">
      <c r="A11" s="5" t="s">
        <v>136</v>
      </c>
      <c r="B11" s="8">
        <f>'Sales Log'!$Q$214</f>
        <v>1733.799705882353</v>
      </c>
      <c r="C11" s="8">
        <f>AVERAGEIF('Sales Log'!$G$14:$G$213,C2,'Sales Log'!$Q$14:$Q$213)</f>
        <v>2183.2857142857142</v>
      </c>
      <c r="D11" s="8">
        <f>AVERAGEIF('Sales Log'!$G$14:$G$213,D2,'Sales Log'!$Q$14:$Q$213)</f>
        <v>1533</v>
      </c>
      <c r="E11" s="8">
        <f>AVERAGEIF('Sales Log'!$G$14:$G$213,E2,'Sales Log'!$Q$14:$Q$213)</f>
        <v>1689.5</v>
      </c>
      <c r="F11" s="8">
        <f>AVERAGEIF('Sales Log'!$G$14:$G$213,F2,'Sales Log'!$Q$14:$Q$213)</f>
        <v>1300.7974999999999</v>
      </c>
      <c r="G11" s="8">
        <f>AVERAGEIF('Sales Log'!$G$14:$G$213,G2,'Sales Log'!$Q$14:$Q$213)</f>
        <v>1473.5</v>
      </c>
      <c r="H11" s="8">
        <f>AVERAGEIF('Sales Log'!$G$14:$G$213,H2,'Sales Log'!$Q$14:$Q$213)</f>
        <v>1525</v>
      </c>
      <c r="I11" s="8" t="e">
        <f>AVERAGEIF('Sales Log'!$G$14:$G$213,I2,'Sales Log'!$Q$14:$Q$213)</f>
        <v>#DIV/0!</v>
      </c>
      <c r="J11" s="8">
        <f>AVERAGEIF('Sales Log'!$G$14:$G$213,J2,'Sales Log'!$Q$14:$Q$213)</f>
        <v>0</v>
      </c>
      <c r="K11" s="8">
        <f>AVERAGEIF('Sales Log'!$G$14:$G$213,K2,'Sales Log'!$Q$14:$Q$213)</f>
        <v>1324</v>
      </c>
    </row>
    <row r="12" spans="1:11" ht="22.5" customHeight="1">
      <c r="A12" s="5" t="s">
        <v>137</v>
      </c>
      <c r="B12" s="8">
        <f>'Sales Log'!$R$214</f>
        <v>4415.8294117647065</v>
      </c>
      <c r="C12" s="8">
        <f>AVERAGEIF('Sales Log'!$G$14:$G$213,C2,'Sales Log'!$R$14:$R$213)</f>
        <v>5302.8571428571431</v>
      </c>
      <c r="D12" s="8">
        <f>AVERAGEIF('Sales Log'!$G$14:$G$213,D2,'Sales Log'!$R$14:$R$213)</f>
        <v>5285.666666666667</v>
      </c>
      <c r="E12" s="8">
        <f>AVERAGEIF('Sales Log'!$G$14:$G$213,E2,'Sales Log'!$R$14:$R$213)</f>
        <v>4162.5</v>
      </c>
      <c r="F12" s="8">
        <f>AVERAGEIF('Sales Log'!$G$14:$G$213,F2,'Sales Log'!$R$14:$R$213)</f>
        <v>2378.25</v>
      </c>
      <c r="G12" s="8">
        <f>AVERAGEIF('Sales Log'!$G$14:$G$213,G2,'Sales Log'!$R$14:$R$213)</f>
        <v>3297.5</v>
      </c>
      <c r="H12" s="8">
        <f>AVERAGEIF('Sales Log'!$G$14:$G$213,H2,'Sales Log'!$R$14:$R$213)</f>
        <v>5587</v>
      </c>
      <c r="I12" s="8" t="e">
        <f>AVERAGEIF('Sales Log'!$G$14:$G$213,I2,'Sales Log'!$R$14:$R$213)</f>
        <v>#DIV/0!</v>
      </c>
      <c r="J12" s="8">
        <f>AVERAGEIF('Sales Log'!$G$14:$G$213,J2,'Sales Log'!$R$14:$R$213)</f>
        <v>-607</v>
      </c>
      <c r="K12" s="8">
        <f>AVERAGEIF('Sales Log'!$G$14:$G$213,K2,'Sales Log'!$R$14:$R$213)</f>
        <v>4659.4000000000005</v>
      </c>
    </row>
    <row r="13" spans="1:11" ht="21.75" customHeight="1">
      <c r="A13" s="5" t="s">
        <v>138</v>
      </c>
      <c r="B13" s="10">
        <f>B12*B3</f>
        <v>150138.20000000001</v>
      </c>
      <c r="C13" s="10">
        <f>C12*C3</f>
        <v>74240</v>
      </c>
      <c r="D13" s="10">
        <f t="shared" ref="D13:K13" si="0">D12*D3</f>
        <v>15857</v>
      </c>
      <c r="E13" s="10">
        <f t="shared" si="0"/>
        <v>24975</v>
      </c>
      <c r="F13" s="10">
        <f t="shared" si="0"/>
        <v>9513</v>
      </c>
      <c r="G13" s="10">
        <f t="shared" si="0"/>
        <v>6595</v>
      </c>
      <c r="H13" s="10">
        <f t="shared" si="0"/>
        <v>5587</v>
      </c>
      <c r="I13" s="10" t="e">
        <f t="shared" si="0"/>
        <v>#DIV/0!</v>
      </c>
      <c r="J13" s="10">
        <f t="shared" ref="J13" si="1">J12*J3</f>
        <v>-607</v>
      </c>
      <c r="K13" s="10">
        <f t="shared" si="0"/>
        <v>13978.2</v>
      </c>
    </row>
    <row r="14" spans="1:11" ht="21.75" customHeight="1">
      <c r="A14" s="5" t="s">
        <v>92</v>
      </c>
      <c r="B14" s="9">
        <f>(B12/(B7)*(360/B6))</f>
        <v>0.6038025133303111</v>
      </c>
      <c r="C14" s="9">
        <f ca="1">(C12/(C7)*(360/C6))</f>
        <v>1.0440355100247412</v>
      </c>
      <c r="D14" s="9">
        <f t="shared" ref="D14:K14" ca="1" si="2">(D12/(D7)*(360/D6))</f>
        <v>1.010208642997628</v>
      </c>
      <c r="E14" s="9">
        <f t="shared" ca="1" si="2"/>
        <v>1.4190562636632107</v>
      </c>
      <c r="F14" s="9">
        <f t="shared" ca="1" si="2"/>
        <v>0.24112520024062672</v>
      </c>
      <c r="G14" s="9">
        <f t="shared" ca="1" si="2"/>
        <v>9.9739497672871075E-2</v>
      </c>
      <c r="H14" s="9">
        <f t="shared" ca="1" si="2"/>
        <v>1.2893076923076923</v>
      </c>
      <c r="I14" s="9" t="e">
        <f t="shared" ca="1" si="2"/>
        <v>#DIV/0!</v>
      </c>
      <c r="J14" s="9">
        <f t="shared" ref="J14" ca="1" si="3">(J12/(J7)*(360/J6))</f>
        <v>-8.893867008767696E-2</v>
      </c>
      <c r="K14" s="9">
        <f t="shared" ca="1" si="2"/>
        <v>18.590440871253563</v>
      </c>
    </row>
    <row r="15" spans="1:11" ht="21.75" customHeight="1">
      <c r="A15" s="5" t="s">
        <v>139</v>
      </c>
      <c r="B15" s="9">
        <f>'Sales Log'!AA214/'Scoreboard Total'!B3</f>
        <v>0.29411764705882354</v>
      </c>
      <c r="C15" s="9">
        <f>COUNTIFS('Sales Log'!$G$14:$G$213,C2,'Sales Log'!$AA$14:$AA$213,"Yes")/C$3</f>
        <v>0.21428571428571427</v>
      </c>
      <c r="D15" s="9">
        <f>COUNTIFS('Sales Log'!$G$14:$G$213,D2,'Sales Log'!$AA$14:$AA$213,"Yes")/D$3</f>
        <v>0.33333333333333331</v>
      </c>
      <c r="E15" s="9">
        <f>COUNTIFS('Sales Log'!$G$14:$G$213,E2,'Sales Log'!$AA$14:$AA$213,"Yes")/E$3</f>
        <v>0.33333333333333331</v>
      </c>
      <c r="F15" s="9">
        <f>COUNTIFS('Sales Log'!$G$14:$G$213,F2,'Sales Log'!$AA$14:$AA$213,"Yes")/F$3</f>
        <v>0.25</v>
      </c>
      <c r="G15" s="9">
        <f>COUNTIFS('Sales Log'!$G$14:$G$213,G2,'Sales Log'!$AA$14:$AA$213,"Yes")/G$3</f>
        <v>0.5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>
        <f>COUNTIFS('Sales Log'!$G$14:$G$213,J2,'Sales Log'!$AA$14:$AA$213,"Yes")/J$3</f>
        <v>0</v>
      </c>
      <c r="K15" s="9">
        <f>COUNTIFS('Sales Log'!$G$14:$G$213,K2,'Sales Log'!$AA$14:$AA$213,"Yes")/K$3</f>
        <v>0.66666666666666663</v>
      </c>
    </row>
    <row r="16" spans="1:11" ht="21.75" customHeight="1">
      <c r="A16" s="5" t="s">
        <v>140</v>
      </c>
      <c r="B16" s="114" t="e">
        <f>'Sales Log'!$AB$214</f>
        <v>#DIV/0!</v>
      </c>
      <c r="C16" s="114" t="e">
        <f>AVERAGEIF('Sales Log'!$G$14:$G$213,C2,'Sales Log'!$AB$14:$AB$213)</f>
        <v>#DIV/0!</v>
      </c>
      <c r="D16" s="114" t="e">
        <f>AVERAGEIF('Sales Log'!$G$14:$G$213,D2,'Sales Log'!$AB$14:$AB$213)</f>
        <v>#DIV/0!</v>
      </c>
      <c r="E16" s="114" t="e">
        <f>AVERAGEIF('Sales Log'!$G$14:$G$213,E2,'Sales Log'!$AB$14:$AB$213)</f>
        <v>#DIV/0!</v>
      </c>
      <c r="F16" s="114" t="e">
        <f>AVERAGEIF('Sales Log'!$G$14:$G$213,F2,'Sales Log'!$AB$14:$AB$213)</f>
        <v>#DIV/0!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Austin Steves</cp:lastModifiedBy>
  <cp:revision/>
  <dcterms:created xsi:type="dcterms:W3CDTF">2015-12-28T19:26:50Z</dcterms:created>
  <dcterms:modified xsi:type="dcterms:W3CDTF">2023-11-09T22:55:18Z</dcterms:modified>
  <cp:category/>
  <cp:contentStatus/>
</cp:coreProperties>
</file>