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ley/Downloads/"/>
    </mc:Choice>
  </mc:AlternateContent>
  <xr:revisionPtr revIDLastSave="0" documentId="13_ncr:1_{21E4B7E7-DE75-7A44-A0B7-098C12F927CE}" xr6:coauthVersionLast="47" xr6:coauthVersionMax="47" xr10:uidLastSave="{00000000-0000-0000-0000-000000000000}"/>
  <bookViews>
    <workbookView xWindow="0" yWindow="500" windowWidth="28800" windowHeight="15720" tabRatio="913" firstSheet="1" activeTab="9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10" i="13"/>
  <c r="J11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5" i="13" l="1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M38" i="1"/>
  <c r="N38" i="1" s="1"/>
  <c r="M39" i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37" i="1"/>
  <c r="N39" i="1"/>
  <c r="N85" i="1"/>
  <c r="N88" i="1"/>
  <c r="N96" i="1"/>
  <c r="N109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J8" i="13" l="1"/>
  <c r="J9" i="13"/>
  <c r="S21" i="1"/>
  <c r="J12" i="13"/>
  <c r="D8" i="13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J13" i="13" l="1"/>
  <c r="J14" i="13"/>
  <c r="B3" i="5"/>
  <c r="B15" i="14" s="1"/>
  <c r="J4" i="13"/>
  <c r="B16" i="5"/>
  <c r="B15" i="13"/>
  <c r="B17" i="9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4" i="9" l="1"/>
  <c r="B16" i="11"/>
  <c r="B3" i="14"/>
  <c r="B5" i="14" s="1"/>
  <c r="B4" i="10"/>
  <c r="B17" i="6"/>
  <c r="B16" i="12"/>
  <c r="B17" i="10"/>
  <c r="L214" i="1"/>
  <c r="B8" i="11" s="1"/>
  <c r="M13" i="1"/>
  <c r="B4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B5" i="12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B6" i="10"/>
  <c r="B6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I10" i="10" l="1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G13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E13" i="14" l="1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family val="2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<sst xmlns="http://schemas.openxmlformats.org/spreadsheetml/2006/main" count="1281" uniqueCount="329">
  <si>
    <t>Desk Manager(s)</t>
  </si>
  <si>
    <t>Finance Manager(s)</t>
  </si>
  <si>
    <t>Sales Consultant(s)</t>
  </si>
  <si>
    <t>New Car Franchise(s)</t>
  </si>
  <si>
    <t>Control (brand)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</si>
  <si>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</si>
  <si>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</si>
  <si>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</si>
  <si>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</si>
  <si>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</si>
  <si>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</si>
  <si>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</si>
  <si>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</si>
  <si>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</si>
  <si>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</si>
  <si>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</si>
  <si>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</si>
  <si>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</si>
  <si>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</si>
  <si>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</si>
  <si>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</si>
  <si>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</si>
  <si>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</si>
  <si>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</si>
  <si>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</si>
  <si>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</si>
  <si>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</si>
  <si>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</si>
  <si>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</si>
  <si>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</si>
  <si>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</si>
  <si>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</si>
  <si>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</si>
  <si>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</si>
  <si>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</si>
  <si>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</si>
  <si>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</si>
  <si>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</si>
  <si>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</si>
  <si>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</si>
  <si>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</si>
  <si>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</si>
  <si>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</si>
  <si>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</si>
  <si>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</si>
  <si>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</si>
  <si>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</si>
  <si>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</si>
  <si>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</si>
  <si>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</si>
  <si>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</si>
  <si>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</si>
  <si>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</si>
  <si>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</si>
  <si>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</si>
  <si>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</si>
  <si>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</si>
  <si>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</si>
  <si>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</si>
  <si>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</si>
  <si>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</si>
  <si>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</si>
  <si>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</si>
  <si>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</si>
  <si>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</si>
  <si>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</si>
  <si>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</si>
  <si>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</si>
  <si>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</si>
  <si>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</si>
  <si>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</si>
  <si>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</si>
  <si>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</si>
  <si>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</si>
  <si>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</si>
  <si>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</si>
  <si>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</si>
  <si>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</si>
  <si>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</si>
  <si>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</si>
  <si>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</si>
  <si>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</si>
  <si>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</si>
  <si>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</si>
  <si>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</si>
  <si>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</si>
  <si>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</si>
  <si>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</si>
  <si>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</si>
  <si>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</si>
  <si>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</si>
  <si>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</si>
  <si>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</si>
  <si>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</si>
  <si>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</si>
  <si>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</si>
  <si>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</si>
  <si>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</si>
  <si>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</si>
  <si>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</si>
  <si>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</si>
  <si>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</si>
  <si>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</si>
  <si>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</si>
  <si>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</si>
  <si>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</si>
  <si>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</si>
  <si>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</si>
  <si>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</si>
  <si>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</si>
  <si>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</si>
  <si>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</si>
  <si>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</si>
  <si>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</si>
  <si>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</si>
  <si>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</si>
  <si>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</si>
  <si>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</si>
  <si>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</si>
  <si>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</si>
  <si>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</si>
  <si>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</si>
  <si>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</si>
  <si>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</si>
  <si>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</si>
  <si>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</si>
  <si>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</si>
  <si>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</si>
  <si>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</si>
  <si>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</si>
  <si>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</si>
  <si>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</si>
  <si>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</si>
  <si>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</si>
  <si>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</si>
  <si>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</si>
  <si>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</si>
  <si>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</si>
  <si>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</si>
  <si>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</si>
  <si>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</si>
  <si>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</si>
  <si>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</si>
  <si>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</si>
  <si>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</si>
  <si>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</si>
  <si>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</si>
  <si>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</si>
  <si>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</si>
  <si>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</si>
  <si>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</si>
  <si>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</si>
  <si>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fatah khayati</t>
  </si>
  <si>
    <t>mario muniz</t>
  </si>
  <si>
    <t>david oley</t>
  </si>
  <si>
    <t>phillipe jabbour</t>
  </si>
  <si>
    <t>al hildalgo</t>
  </si>
  <si>
    <t>daisy pena</t>
  </si>
  <si>
    <t>honda</t>
  </si>
  <si>
    <t>adam abufaraha</t>
  </si>
  <si>
    <t>angel alcantar</t>
  </si>
  <si>
    <t>ali hajati</t>
  </si>
  <si>
    <t>brandon nagle</t>
  </si>
  <si>
    <t>david williams</t>
  </si>
  <si>
    <t>eric camiletti</t>
  </si>
  <si>
    <t>hugo rodriguez</t>
  </si>
  <si>
    <t>jesse gutierrez</t>
  </si>
  <si>
    <t>justin isom</t>
  </si>
  <si>
    <t>justin mccwoan</t>
  </si>
  <si>
    <t>joe oliver</t>
  </si>
  <si>
    <t>josh palma</t>
  </si>
  <si>
    <t>mno alaskari</t>
  </si>
  <si>
    <t>moh mohsin</t>
  </si>
  <si>
    <t>mitchell vallejo</t>
  </si>
  <si>
    <t>nabeel khan</t>
  </si>
  <si>
    <t>patrick adams</t>
  </si>
  <si>
    <t>paul allen</t>
  </si>
  <si>
    <t>pablo hernandez</t>
  </si>
  <si>
    <t>qais kakar</t>
  </si>
  <si>
    <t>ricaro bethancourt</t>
  </si>
  <si>
    <t>robert perez</t>
  </si>
  <si>
    <t>syed raza</t>
  </si>
  <si>
    <t>santiago rodriguez</t>
  </si>
  <si>
    <t>tim moss</t>
  </si>
  <si>
    <t>vince vincent</t>
  </si>
  <si>
    <t>wendy quintero</t>
  </si>
  <si>
    <t>f507200</t>
  </si>
  <si>
    <t>f506180</t>
  </si>
  <si>
    <t>f307220</t>
  </si>
  <si>
    <t>HONDA</t>
  </si>
  <si>
    <t>TOYOTA</t>
  </si>
  <si>
    <t>ACCORD</t>
  </si>
  <si>
    <t>COROLLA</t>
  </si>
  <si>
    <t>F507210</t>
  </si>
  <si>
    <t>CIVIC</t>
  </si>
  <si>
    <t>F505010</t>
  </si>
  <si>
    <t>F506510R</t>
  </si>
  <si>
    <t>F505390</t>
  </si>
  <si>
    <t>CR-V</t>
  </si>
  <si>
    <t>F505870R</t>
  </si>
  <si>
    <t>FIT</t>
  </si>
  <si>
    <t>F507250</t>
  </si>
  <si>
    <t>JETTA</t>
  </si>
  <si>
    <t>F506700R</t>
  </si>
  <si>
    <t>F507010</t>
  </si>
  <si>
    <t>F506520</t>
  </si>
  <si>
    <t>CLARITY</t>
  </si>
  <si>
    <t>F506560</t>
  </si>
  <si>
    <t>PASSPORT</t>
  </si>
  <si>
    <t>F505590R</t>
  </si>
  <si>
    <t>F306861</t>
  </si>
  <si>
    <t>F505970</t>
  </si>
  <si>
    <t>ODYSSEY</t>
  </si>
  <si>
    <t>F307701</t>
  </si>
  <si>
    <t>F506100R</t>
  </si>
  <si>
    <t>F507290</t>
  </si>
  <si>
    <t>NISSAN</t>
  </si>
  <si>
    <t>SENTRA</t>
  </si>
  <si>
    <t>F504730</t>
  </si>
  <si>
    <t>F505050</t>
  </si>
  <si>
    <t>HR-V</t>
  </si>
  <si>
    <t>F505120A</t>
  </si>
  <si>
    <t>TIGUAN</t>
  </si>
  <si>
    <t>F507160A</t>
  </si>
  <si>
    <t>F507330</t>
  </si>
  <si>
    <t>f506530</t>
  </si>
  <si>
    <t>cr-v</t>
  </si>
  <si>
    <t>f504550</t>
  </si>
  <si>
    <t>pilot</t>
  </si>
  <si>
    <t>F507360</t>
  </si>
  <si>
    <t>NO</t>
  </si>
  <si>
    <t>F506540</t>
  </si>
  <si>
    <t>F507140R</t>
  </si>
  <si>
    <t>F507420R</t>
  </si>
  <si>
    <t>RAV4</t>
  </si>
  <si>
    <t>F507430R</t>
  </si>
  <si>
    <t>F507450</t>
  </si>
  <si>
    <t>TACOMA</t>
  </si>
  <si>
    <t>CAMRY</t>
  </si>
  <si>
    <t>F507470R</t>
  </si>
  <si>
    <t>PASSAT</t>
  </si>
  <si>
    <t>F400101</t>
  </si>
  <si>
    <t>F507480</t>
  </si>
  <si>
    <t>F305861</t>
  </si>
  <si>
    <t>INSIGHT</t>
  </si>
  <si>
    <t>F506470</t>
  </si>
  <si>
    <t>F506980R</t>
  </si>
  <si>
    <t>F506270R</t>
  </si>
  <si>
    <t>F505990</t>
  </si>
  <si>
    <t>F401081</t>
  </si>
  <si>
    <t>F507490</t>
  </si>
  <si>
    <t>F507500A</t>
  </si>
  <si>
    <t>F507730R</t>
  </si>
  <si>
    <t>SPARK</t>
  </si>
  <si>
    <t>F507750</t>
  </si>
  <si>
    <t>CHRYSLER</t>
  </si>
  <si>
    <t>PACIFICA</t>
  </si>
  <si>
    <t>F400301</t>
  </si>
  <si>
    <t>F506460R</t>
  </si>
  <si>
    <t>F506920</t>
  </si>
  <si>
    <t>F507760</t>
  </si>
  <si>
    <t>F507780</t>
  </si>
  <si>
    <t>PRIUS</t>
  </si>
  <si>
    <t>F507790</t>
  </si>
  <si>
    <t>F307421A</t>
  </si>
  <si>
    <t>F400051A</t>
  </si>
  <si>
    <t>F507820R</t>
  </si>
  <si>
    <t>F506820R</t>
  </si>
  <si>
    <t>F507890A</t>
  </si>
  <si>
    <t>F507570</t>
  </si>
  <si>
    <t>F307121</t>
  </si>
  <si>
    <t>PILOT</t>
  </si>
  <si>
    <t>F507900</t>
  </si>
  <si>
    <t>JEEP</t>
  </si>
  <si>
    <t>COMPASS</t>
  </si>
  <si>
    <t>F507030R</t>
  </si>
  <si>
    <t>F507910</t>
  </si>
  <si>
    <t>F507920</t>
  </si>
  <si>
    <t>F506870a</t>
  </si>
  <si>
    <t>F507980</t>
  </si>
  <si>
    <t>F507990R</t>
  </si>
  <si>
    <t>COLORADO</t>
  </si>
  <si>
    <t>F507530R</t>
  </si>
  <si>
    <t>F508030</t>
  </si>
  <si>
    <t>F505640</t>
  </si>
  <si>
    <t>F400321</t>
  </si>
  <si>
    <t>F508040</t>
  </si>
  <si>
    <t>CH-R</t>
  </si>
  <si>
    <t>F506280</t>
  </si>
  <si>
    <t>F507610A</t>
  </si>
  <si>
    <t>F508060</t>
  </si>
  <si>
    <t>DODGE</t>
  </si>
  <si>
    <t>CHALLENGER</t>
  </si>
  <si>
    <t>F508070</t>
  </si>
  <si>
    <t>F508110</t>
  </si>
  <si>
    <t>F507060R</t>
  </si>
  <si>
    <t>F508140R</t>
  </si>
  <si>
    <t>F508150</t>
  </si>
  <si>
    <t>GRAND CHEROKEE</t>
  </si>
  <si>
    <t>F508210</t>
  </si>
  <si>
    <t>F507340R</t>
  </si>
  <si>
    <t>F507150R</t>
  </si>
  <si>
    <t>F507090R</t>
  </si>
  <si>
    <t>F507110</t>
  </si>
  <si>
    <t>F507600</t>
  </si>
  <si>
    <t>F307921</t>
  </si>
  <si>
    <t>F506720</t>
  </si>
  <si>
    <t>F508300A</t>
  </si>
  <si>
    <t>BUICK</t>
  </si>
  <si>
    <t>ENVISION</t>
  </si>
  <si>
    <t>F400821</t>
  </si>
  <si>
    <t>F507720A</t>
  </si>
  <si>
    <t>F508350</t>
  </si>
  <si>
    <t>F506790R</t>
  </si>
  <si>
    <t>F508360R</t>
  </si>
  <si>
    <t>CADILLAC</t>
  </si>
  <si>
    <t>XT5</t>
  </si>
  <si>
    <t>F508400R</t>
  </si>
  <si>
    <t>F507380R</t>
  </si>
  <si>
    <t>F508490A</t>
  </si>
  <si>
    <t>F400651</t>
  </si>
  <si>
    <t>f507600</t>
  </si>
  <si>
    <t>ridgeline</t>
  </si>
  <si>
    <t>F508500R</t>
  </si>
  <si>
    <t>F508420</t>
  </si>
  <si>
    <t>F508510R</t>
  </si>
  <si>
    <t>F507960</t>
  </si>
  <si>
    <t>F505810R</t>
  </si>
  <si>
    <t>1O2%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</si>
</sst>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6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  <xf numFmtId="6" fontId="2" fillId="0" borderId="1" xfId="0" applyNumberFormat="1" applyFont="1" applyBorder="1" applyProtection="1"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Protection="1">
      <protection locked="0"/>
    </xf>
    <xf numFmtId="9" fontId="2" fillId="0" borderId="1" xfId="1" applyNumberFormat="1" applyFont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C29" sqref="C29"/>
    </sheetView>
  </sheetViews>
  <sheetFormatPr baseColWidth="10" defaultColWidth="8.83203125" defaultRowHeight="15"/>
  <cols>
    <col min="1" max="4" width="25.6640625" customWidth="1"/>
    <col min="5" max="5" width="17.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152</v>
      </c>
      <c r="B2" s="2" t="s">
        <v>155</v>
      </c>
      <c r="C2" s="2" t="s">
        <v>159</v>
      </c>
      <c r="D2" s="2" t="s">
        <v>158</v>
      </c>
      <c r="E2" s="41" t="s">
        <v>7</v>
      </c>
    </row>
    <row r="3" spans="1:5">
      <c r="A3" s="2" t="s">
        <v>153</v>
      </c>
      <c r="B3" s="2" t="s">
        <v>156</v>
      </c>
      <c r="C3" s="2" t="s">
        <v>160</v>
      </c>
      <c r="D3" s="2"/>
      <c r="E3" s="3" t="s">
        <v>9</v>
      </c>
    </row>
    <row r="4" spans="1:5">
      <c r="A4" s="2" t="s">
        <v>154</v>
      </c>
      <c r="B4" s="2" t="s">
        <v>157</v>
      </c>
      <c r="C4" s="2" t="s">
        <v>161</v>
      </c>
      <c r="D4" s="2"/>
      <c r="E4" s="3" t="s">
        <v>10</v>
      </c>
    </row>
    <row r="5" spans="1:5">
      <c r="A5" s="2"/>
      <c r="B5" s="2"/>
      <c r="C5" s="2" t="s">
        <v>162</v>
      </c>
      <c r="D5" s="2"/>
      <c r="E5" s="3" t="s">
        <v>8</v>
      </c>
    </row>
    <row r="6" spans="1:5">
      <c r="A6" s="2"/>
      <c r="B6" s="2"/>
      <c r="C6" s="2" t="s">
        <v>163</v>
      </c>
      <c r="D6" s="2"/>
      <c r="E6" s="3" t="s">
        <v>11</v>
      </c>
    </row>
    <row r="7" spans="1:5">
      <c r="A7" s="2"/>
      <c r="B7" s="2"/>
      <c r="C7" s="2" t="s">
        <v>164</v>
      </c>
      <c r="D7" s="2"/>
      <c r="E7" s="3" t="s">
        <v>12</v>
      </c>
    </row>
    <row r="8" spans="1:5">
      <c r="A8" s="2"/>
      <c r="B8" s="2"/>
      <c r="C8" s="2" t="s">
        <v>165</v>
      </c>
      <c r="D8" s="2"/>
      <c r="E8" s="3" t="s">
        <v>13</v>
      </c>
    </row>
    <row r="9" spans="1:5">
      <c r="A9" s="2"/>
      <c r="B9" s="2"/>
      <c r="C9" s="2" t="s">
        <v>166</v>
      </c>
      <c r="D9" s="2"/>
      <c r="E9" s="3" t="s">
        <v>14</v>
      </c>
    </row>
    <row r="10" spans="1:5">
      <c r="A10" s="2"/>
      <c r="B10" s="2"/>
      <c r="C10" s="2" t="s">
        <v>167</v>
      </c>
      <c r="D10" s="2"/>
      <c r="E10" s="3" t="s">
        <v>15</v>
      </c>
    </row>
    <row r="11" spans="1:5">
      <c r="A11" s="2"/>
      <c r="B11" s="2"/>
      <c r="C11" s="2" t="s">
        <v>168</v>
      </c>
      <c r="D11" s="2"/>
      <c r="E11" s="3" t="s">
        <v>16</v>
      </c>
    </row>
    <row r="12" spans="1:5">
      <c r="A12" s="2"/>
      <c r="B12" s="2"/>
      <c r="C12" s="2" t="s">
        <v>169</v>
      </c>
      <c r="D12" s="2"/>
      <c r="E12" s="3" t="s">
        <v>17</v>
      </c>
    </row>
    <row r="13" spans="1:5">
      <c r="A13" s="2"/>
      <c r="B13" s="2"/>
      <c r="C13" s="2" t="s">
        <v>170</v>
      </c>
      <c r="D13" s="2"/>
      <c r="E13" s="3" t="s">
        <v>18</v>
      </c>
    </row>
    <row r="14" spans="1:5">
      <c r="A14" s="2"/>
      <c r="B14" s="2"/>
      <c r="C14" s="2" t="s">
        <v>171</v>
      </c>
      <c r="D14" s="2"/>
      <c r="E14" s="3" t="s">
        <v>19</v>
      </c>
    </row>
    <row r="15" spans="1:5">
      <c r="A15" s="2"/>
      <c r="B15" s="2"/>
      <c r="C15" s="2" t="s">
        <v>172</v>
      </c>
      <c r="D15" s="2"/>
      <c r="E15" s="3" t="s">
        <v>20</v>
      </c>
    </row>
    <row r="16" spans="1:5">
      <c r="A16" s="2"/>
      <c r="B16" s="2"/>
      <c r="C16" s="2" t="s">
        <v>173</v>
      </c>
      <c r="D16" s="2"/>
      <c r="E16" s="3" t="s">
        <v>21</v>
      </c>
    </row>
    <row r="17" spans="1:5">
      <c r="A17" s="2"/>
      <c r="B17" s="2"/>
      <c r="C17" s="2" t="s">
        <v>174</v>
      </c>
      <c r="D17" s="2"/>
      <c r="E17" s="3" t="s">
        <v>22</v>
      </c>
    </row>
    <row r="18" spans="1:5">
      <c r="A18" s="2"/>
      <c r="B18" s="2"/>
      <c r="C18" s="2" t="s">
        <v>175</v>
      </c>
      <c r="D18" s="2"/>
      <c r="E18" s="3" t="s">
        <v>23</v>
      </c>
    </row>
    <row r="19" spans="1:5">
      <c r="A19" s="2"/>
      <c r="B19" s="2"/>
      <c r="C19" s="2" t="s">
        <v>176</v>
      </c>
      <c r="D19" s="2"/>
      <c r="E19" s="3" t="s">
        <v>24</v>
      </c>
    </row>
    <row r="20" spans="1:5">
      <c r="A20" s="2"/>
      <c r="B20" s="2"/>
      <c r="C20" s="2" t="s">
        <v>177</v>
      </c>
      <c r="D20" s="2"/>
      <c r="E20" s="3" t="s">
        <v>25</v>
      </c>
    </row>
    <row r="21" spans="1:5">
      <c r="A21" s="2"/>
      <c r="B21" s="2"/>
      <c r="C21" s="2" t="s">
        <v>178</v>
      </c>
      <c r="D21" s="2"/>
      <c r="E21" s="3" t="s">
        <v>26</v>
      </c>
    </row>
    <row r="22" spans="1:5">
      <c r="A22" s="2"/>
      <c r="B22" s="2"/>
      <c r="C22" s="2" t="s">
        <v>179</v>
      </c>
      <c r="D22" s="2"/>
      <c r="E22" s="3" t="s">
        <v>27</v>
      </c>
    </row>
    <row r="23" spans="1:5">
      <c r="A23" s="2"/>
      <c r="B23" s="2"/>
      <c r="C23" s="2" t="s">
        <v>180</v>
      </c>
      <c r="D23" s="2"/>
      <c r="E23" s="3" t="s">
        <v>28</v>
      </c>
    </row>
    <row r="24" spans="1:5">
      <c r="A24" s="2"/>
      <c r="B24" s="2"/>
      <c r="C24" s="2" t="s">
        <v>181</v>
      </c>
      <c r="D24" s="2"/>
      <c r="E24" s="3" t="s">
        <v>29</v>
      </c>
    </row>
    <row r="25" spans="1:5">
      <c r="A25" s="2"/>
      <c r="B25" s="2"/>
      <c r="C25" s="2" t="s">
        <v>182</v>
      </c>
      <c r="D25" s="2"/>
      <c r="E25" s="3" t="s">
        <v>30</v>
      </c>
    </row>
    <row r="26" spans="1:5">
      <c r="A26" s="2"/>
      <c r="B26" s="2"/>
      <c r="C26" s="2" t="s">
        <v>183</v>
      </c>
      <c r="D26" s="2"/>
      <c r="E26" s="3" t="s">
        <v>31</v>
      </c>
    </row>
    <row r="27" spans="1:5">
      <c r="A27" s="2"/>
      <c r="B27" s="2"/>
      <c r="C27" s="2" t="s">
        <v>184</v>
      </c>
      <c r="D27" s="2"/>
      <c r="E27" s="3" t="s">
        <v>32</v>
      </c>
    </row>
    <row r="28" spans="1:5">
      <c r="A28" s="2"/>
      <c r="B28" s="2"/>
      <c r="C28" s="2" t="s">
        <v>185</v>
      </c>
      <c r="D28" s="2"/>
      <c r="E28" s="3" t="s">
        <v>33</v>
      </c>
    </row>
    <row r="29" spans="1:5">
      <c r="A29" s="2"/>
      <c r="B29" s="2"/>
      <c r="C29" s="2"/>
      <c r="D29" s="2"/>
      <c r="E29" s="3" t="s">
        <v>34</v>
      </c>
    </row>
    <row r="30" spans="1:5">
      <c r="A30" s="2"/>
      <c r="B30" s="2"/>
      <c r="C30" s="2"/>
      <c r="D30" s="2"/>
      <c r="E30" s="3" t="s">
        <v>35</v>
      </c>
    </row>
    <row r="31" spans="1:5">
      <c r="A31" s="2"/>
      <c r="B31" s="2"/>
      <c r="C31" s="2"/>
      <c r="D31" s="2"/>
      <c r="E31" s="3" t="s">
        <v>36</v>
      </c>
    </row>
    <row r="32" spans="1:5">
      <c r="A32" s="2"/>
      <c r="B32" s="2"/>
      <c r="C32" s="2"/>
      <c r="D32" s="2"/>
      <c r="E32" s="3" t="s">
        <v>37</v>
      </c>
    </row>
    <row r="33" spans="1:5">
      <c r="A33" s="2"/>
      <c r="B33" s="2"/>
      <c r="C33" s="2"/>
      <c r="D33" s="2"/>
      <c r="E33" s="3" t="s">
        <v>38</v>
      </c>
    </row>
    <row r="34" spans="1:5">
      <c r="A34" s="2"/>
      <c r="B34" s="2"/>
      <c r="C34" s="2"/>
      <c r="D34" s="2"/>
      <c r="E34" s="3" t="s">
        <v>39</v>
      </c>
    </row>
    <row r="35" spans="1:5">
      <c r="A35" s="2"/>
      <c r="B35" s="2"/>
      <c r="C35" s="2"/>
      <c r="D35" s="2"/>
      <c r="E35" s="3" t="s">
        <v>40</v>
      </c>
    </row>
    <row r="36" spans="1:5">
      <c r="A36" s="2"/>
      <c r="B36" s="2"/>
      <c r="C36" s="2"/>
      <c r="D36" s="2"/>
      <c r="E36" s="3" t="s">
        <v>41</v>
      </c>
    </row>
    <row r="37" spans="1:5">
      <c r="A37" s="2"/>
      <c r="B37" s="2"/>
      <c r="C37" s="2"/>
      <c r="D37" s="2"/>
      <c r="E37" s="3" t="s">
        <v>42</v>
      </c>
    </row>
    <row r="38" spans="1:5">
      <c r="A38" s="2"/>
      <c r="B38" s="2"/>
      <c r="C38" s="2"/>
      <c r="D38" s="2"/>
      <c r="E38" s="3" t="s">
        <v>43</v>
      </c>
    </row>
    <row r="39" spans="1:5">
      <c r="A39" s="2"/>
      <c r="B39" s="2"/>
      <c r="C39" s="2"/>
      <c r="D39" s="2"/>
      <c r="E39" s="3" t="s">
        <v>44</v>
      </c>
    </row>
    <row r="40" spans="1:5">
      <c r="A40" s="2"/>
      <c r="B40" s="2"/>
      <c r="C40" s="2"/>
      <c r="D40" s="2"/>
      <c r="E40" s="3" t="s">
        <v>45</v>
      </c>
    </row>
    <row r="41" spans="1:5">
      <c r="A41" s="2"/>
      <c r="B41" s="2"/>
      <c r="C41" s="2"/>
      <c r="D41" s="2"/>
      <c r="E41" s="3" t="s">
        <v>46</v>
      </c>
    </row>
    <row r="42" spans="1:5">
      <c r="A42" s="2"/>
      <c r="B42" s="2"/>
      <c r="C42" s="2"/>
      <c r="D42" s="2"/>
      <c r="E42" s="3" t="s">
        <v>47</v>
      </c>
    </row>
    <row r="43" spans="1:5">
      <c r="A43" s="2"/>
      <c r="B43" s="2"/>
      <c r="C43" s="2"/>
      <c r="D43" s="2"/>
      <c r="E43" s="3" t="s">
        <v>48</v>
      </c>
    </row>
    <row r="44" spans="1:5">
      <c r="A44" s="2"/>
      <c r="B44" s="2"/>
      <c r="C44" s="2"/>
      <c r="D44" s="2"/>
      <c r="E44" s="3" t="s">
        <v>49</v>
      </c>
    </row>
    <row r="45" spans="1:5">
      <c r="A45" s="2"/>
      <c r="B45" s="2"/>
      <c r="C45" s="2"/>
      <c r="D45" s="2"/>
      <c r="E45" s="3" t="s">
        <v>50</v>
      </c>
    </row>
    <row r="46" spans="1:5">
      <c r="A46" s="2"/>
      <c r="B46" s="2"/>
      <c r="C46" s="2"/>
      <c r="D46" s="2"/>
      <c r="E46" s="3" t="s">
        <v>51</v>
      </c>
    </row>
    <row r="47" spans="1:5">
      <c r="A47" s="2"/>
      <c r="B47" s="2"/>
      <c r="C47" s="2"/>
      <c r="D47" s="2"/>
      <c r="E47" s="3" t="s">
        <v>52</v>
      </c>
    </row>
    <row r="48" spans="1:5">
      <c r="A48" s="2"/>
      <c r="B48" s="2"/>
      <c r="C48" s="2"/>
      <c r="D48" s="2"/>
      <c r="E48" s="3" t="s">
        <v>53</v>
      </c>
    </row>
    <row r="49" spans="1:5">
      <c r="A49" s="2"/>
      <c r="B49" s="2"/>
      <c r="C49" s="2"/>
      <c r="D49" s="2"/>
      <c r="E49" s="3" t="s">
        <v>6</v>
      </c>
    </row>
    <row r="50" spans="1:5">
      <c r="A50" s="2"/>
      <c r="B50" s="2"/>
      <c r="C50" s="2"/>
      <c r="D50" s="2"/>
      <c r="E50" s="3" t="s">
        <v>54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tabSelected="1" workbookViewId="0">
      <pane xSplit="1" topLeftCell="B1" activePane="topRight" state="frozen"/>
      <selection pane="topRight"/>
    </sheetView>
  </sheetViews>
  <sheetFormatPr baseColWidth="10" defaultColWidth="8.83203125" defaultRowHeight="15"/>
  <cols>
    <col min="1" max="1" width="31.33203125" bestFit="1" customWidth="1"/>
    <col min="2" max="7" width="15.6640625" customWidth="1"/>
  </cols>
  <sheetData>
    <row r="1" spans="1:7" ht="22.5" customHeight="1">
      <c r="A1" s="25" t="s">
        <v>138</v>
      </c>
      <c r="B1" s="21"/>
    </row>
    <row r="2" spans="1:7" ht="22.5" customHeight="1">
      <c r="A2" s="28" t="s">
        <v>151</v>
      </c>
      <c r="B2" s="22" t="s">
        <v>140</v>
      </c>
      <c r="C2" s="32" t="s">
        <v>106</v>
      </c>
      <c r="D2" s="32" t="s">
        <v>110</v>
      </c>
      <c r="E2" s="32" t="s">
        <v>112</v>
      </c>
      <c r="F2" s="32" t="s">
        <v>113</v>
      </c>
      <c r="G2" s="32" t="s">
        <v>115</v>
      </c>
    </row>
    <row r="3" spans="1:7" ht="22.5" customHeight="1">
      <c r="A3" s="5" t="s">
        <v>124</v>
      </c>
      <c r="B3" s="6">
        <f>'Scoreboard Total'!B3</f>
        <v>103</v>
      </c>
      <c r="C3" s="6">
        <f>COUNTIF('Sales Log'!$W$14:$W$213,30)</f>
        <v>42</v>
      </c>
      <c r="D3" s="6">
        <f>COUNTIF('Sales Log'!$W$14:$W$213,45)</f>
        <v>26</v>
      </c>
      <c r="E3" s="6">
        <f>COUNTIF('Sales Log'!$W$14:$W$213,60)</f>
        <v>19</v>
      </c>
      <c r="F3" s="6">
        <f>COUNTIF('Sales Log'!$W$14:$W$213,90)</f>
        <v>13</v>
      </c>
      <c r="G3" s="6">
        <f>COUNTIF('Sales Log'!$W$14:$W$213,91)</f>
        <v>3</v>
      </c>
    </row>
    <row r="4" spans="1:7" ht="22.5" customHeight="1">
      <c r="A4" s="5" t="s">
        <v>148</v>
      </c>
      <c r="B4" s="9">
        <f>B3/'Sales Log'!$D$214</f>
        <v>1</v>
      </c>
      <c r="C4" s="9">
        <f>C3/'Sales Log'!$D$214</f>
        <v>0.40776699029126212</v>
      </c>
      <c r="D4" s="9">
        <f>D3/'Sales Log'!$D$214</f>
        <v>0.25242718446601942</v>
      </c>
      <c r="E4" s="9">
        <f>E3/'Sales Log'!$D$214</f>
        <v>0.18446601941747573</v>
      </c>
      <c r="F4" s="9">
        <f>F3/'Sales Log'!$D$214</f>
        <v>0.12621359223300971</v>
      </c>
      <c r="G4" s="9">
        <f>G3/'Sales Log'!$D$214</f>
        <v>2.9126213592233011E-2</v>
      </c>
    </row>
    <row r="5" spans="1:7" ht="22.5" customHeight="1">
      <c r="A5" s="5" t="s">
        <v>141</v>
      </c>
      <c r="B5" s="14">
        <f>COUNTIFS('Sales Log'!$I$14:$I$213,"No")/B3</f>
        <v>0.3300970873786408</v>
      </c>
      <c r="C5" s="14">
        <f>COUNTIFS('Sales Log'!$I$14:$I$213,"No",'Sales Log'!$W$14:$W$213,30)/C3</f>
        <v>0.38095238095238093</v>
      </c>
      <c r="D5" s="14">
        <f>COUNTIFS('Sales Log'!$I$14:$I$213,"No",'Sales Log'!$W$14:$W$213,45)/D3</f>
        <v>0.38461538461538464</v>
      </c>
      <c r="E5" s="14">
        <f>COUNTIFS('Sales Log'!$I$14:$I$213,"No",'Sales Log'!$W$14:$W$213,60)/E3</f>
        <v>0.31578947368421051</v>
      </c>
      <c r="F5" s="14">
        <f>COUNTIFS('Sales Log'!$I$14:$I$213,"No",'Sales Log'!$W$14:$W$213,90)/F3</f>
        <v>0.15384615384615385</v>
      </c>
      <c r="G5" s="14">
        <f>COUNTIFS('Sales Log'!$I$14:$I$213,"No",'Sales Log'!$W$14:$W$213,91)/G3</f>
        <v>0</v>
      </c>
    </row>
    <row r="6" spans="1:7" s="4" customFormat="1" ht="21.75" customHeight="1">
      <c r="A6" s="11" t="s">
        <v>125</v>
      </c>
      <c r="B6" s="7">
        <f>'Sales Log'!$F$214</f>
        <v>37.291262135922331</v>
      </c>
      <c r="C6" s="24">
        <f>AVERAGEIF('Sales Log'!$W$14:$W$213,30,'Sales Log'!$F$14:$F$213)</f>
        <v>15.214285714285714</v>
      </c>
      <c r="D6" s="24">
        <f>AVERAGEIF('Sales Log'!$W$14:$W$213,45,'Sales Log'!$F$14:$F$213)</f>
        <v>37.115384615384613</v>
      </c>
      <c r="E6" s="24">
        <f>AVERAGEIF('Sales Log'!$W$14:$W$213,60,'Sales Log'!$F$14:$F$213)</f>
        <v>52.263157894736842</v>
      </c>
      <c r="F6" s="24">
        <f>AVERAGEIF('Sales Log'!$W$14:$W$213,90,'Sales Log'!$F$14:$F$213)</f>
        <v>72.07692307692308</v>
      </c>
      <c r="G6" s="24">
        <f>AVERAGEIF('Sales Log'!$W$14:$W$213,91,'Sales Log'!$F$14:$F$213)</f>
        <v>102.33333333333333</v>
      </c>
    </row>
    <row r="7" spans="1:7" ht="22.5" customHeight="1">
      <c r="A7" s="5" t="s">
        <v>127</v>
      </c>
      <c r="B7" s="8">
        <f>'Sales Log'!$K$214</f>
        <v>24154.252427184467</v>
      </c>
      <c r="C7" s="8">
        <f>AVERAGEIF('Sales Log'!$W$14:$W$213,30,'Sales Log'!$K$14:$K$213)</f>
        <v>24053.904761904763</v>
      </c>
      <c r="D7" s="8">
        <f>AVERAGEIF('Sales Log'!$W$14:$W$213,45,'Sales Log'!$K$14:$K$213)</f>
        <v>23129.115384615383</v>
      </c>
      <c r="E7" s="8">
        <f>AVERAGEIF('Sales Log'!$W$14:$W$213,60,'Sales Log'!$K$14:$K$213)</f>
        <v>23557.78947368421</v>
      </c>
      <c r="F7" s="8">
        <f>AVERAGEIF('Sales Log'!$W$14:$W$213,90,'Sales Log'!$K$14:$K$213)</f>
        <v>26148.76923076923</v>
      </c>
      <c r="G7" s="8">
        <f>AVERAGEIF('Sales Log'!$W$14:$W$213,91,'Sales Log'!$K$14:$K$213)</f>
        <v>29578.333333333332</v>
      </c>
    </row>
    <row r="8" spans="1:7" ht="22.5" customHeight="1">
      <c r="A8" s="5" t="s">
        <v>149</v>
      </c>
      <c r="B8" s="9">
        <f>'Sales Log'!$N$214</f>
        <v>0.90594000663101304</v>
      </c>
      <c r="C8" s="14" t="e">
        <f>AVERAGEIF('Sales Log'!$W$14:$W$213,30,'Sales Log'!$N14:$N$213)</f>
        <v>#VALUE!</v>
      </c>
      <c r="D8" s="14">
        <f>AVERAGEIF('Sales Log'!$W$14:$W$213,45,'Sales Log'!$N14:$N$213)</f>
        <v>0.8970925891460797</v>
      </c>
      <c r="E8" s="14">
        <f>AVERAGEIF('Sales Log'!$W$14:$W$213,60,'Sales Log'!$N14:$N$213)</f>
        <v>0.85035333935099489</v>
      </c>
      <c r="F8" s="14">
        <f>AVERAGEIF('Sales Log'!$W$14:$W$213,90,'Sales Log'!$N14:$N$213)</f>
        <v>0.85708312509854145</v>
      </c>
      <c r="G8" s="14">
        <f>AVERAGEIF('Sales Log'!$W$14:$W$213,91,'Sales Log'!$N14:$N$213)</f>
        <v>0.79474267616785443</v>
      </c>
    </row>
    <row r="9" spans="1:7" ht="22.5" customHeight="1">
      <c r="A9" s="5" t="s">
        <v>131</v>
      </c>
      <c r="B9" s="8">
        <f>'Sales Log'!$O$214</f>
        <v>-187.126213592233</v>
      </c>
      <c r="C9" s="8">
        <f>AVERAGEIF('Sales Log'!$W$14:$W$213,30,'Sales Log'!$O$14:$O$213)</f>
        <v>586.71428571428567</v>
      </c>
      <c r="D9" s="8">
        <f>AVERAGEIF('Sales Log'!$W$14:$W$213,45,'Sales Log'!$O$14:$O$213)</f>
        <v>-629.30769230769226</v>
      </c>
      <c r="E9" s="8">
        <f>AVERAGEIF('Sales Log'!$W$14:$W$213,60,'Sales Log'!$O$14:$O$213)</f>
        <v>-473.73684210526318</v>
      </c>
      <c r="F9" s="8">
        <f>AVERAGEIF('Sales Log'!$W$14:$W$213,90,'Sales Log'!$O$14:$O$213)</f>
        <v>-1459.0769230769231</v>
      </c>
      <c r="G9" s="8">
        <f>AVERAGEIF('Sales Log'!$W$14:$W$213,91,'Sales Log'!$O$14:$O$213)</f>
        <v>138.33333333333334</v>
      </c>
    </row>
    <row r="10" spans="1:7" ht="22.5" customHeight="1">
      <c r="A10" s="5" t="s">
        <v>150</v>
      </c>
      <c r="B10" s="8">
        <f>'Sales Log'!$P$214</f>
        <v>849.495145631068</v>
      </c>
      <c r="C10" s="8">
        <f>AVERAGEIF('Sales Log'!$W$14:$W$213,30,'Sales Log'!$P$14:$P$213)</f>
        <v>1761.5</v>
      </c>
      <c r="D10" s="8">
        <f>AVERAGEIF('Sales Log'!$W$14:$W$213,45,'Sales Log'!$P$14:$P$213)</f>
        <v>643</v>
      </c>
      <c r="E10" s="8">
        <f>AVERAGEIF('Sales Log'!$W$14:$W$213,60,'Sales Log'!$P$14:$P$213)</f>
        <v>-262.78947368421052</v>
      </c>
      <c r="F10" s="8">
        <f>AVERAGEIF('Sales Log'!$W$14:$W$213,90,'Sales Log'!$P$14:$P$213)</f>
        <v>590.38461538461536</v>
      </c>
      <c r="G10" s="8">
        <f>AVERAGEIF('Sales Log'!$W$14:$W$213,91,'Sales Log'!$P$14:$P$213)</f>
        <v>-1961.6666666666667</v>
      </c>
    </row>
    <row r="11" spans="1:7" ht="22.5" customHeight="1">
      <c r="A11" s="5" t="s">
        <v>133</v>
      </c>
      <c r="B11" s="8">
        <f>'Sales Log'!$Q$214</f>
        <v>2359.3592233009708</v>
      </c>
      <c r="C11" s="8">
        <f>AVERAGEIF('Sales Log'!$W$14:$W$213,30,'Sales Log'!$Q$14:$Q$213)</f>
        <v>2320.6428571428573</v>
      </c>
      <c r="D11" s="8">
        <f>AVERAGEIF('Sales Log'!$W$14:$W$213,45,'Sales Log'!$Q$14:$Q$213)</f>
        <v>2790.1153846153848</v>
      </c>
      <c r="E11" s="8">
        <f>AVERAGEIF('Sales Log'!$W$14:$W$213,60,'Sales Log'!$Q$14:$Q$213)</f>
        <v>2208.8421052631579</v>
      </c>
      <c r="F11" s="8">
        <f>AVERAGEIF('Sales Log'!$W$14:$W$213,90,'Sales Log'!$Q$14:$Q$213)</f>
        <v>1761.2307692307693</v>
      </c>
      <c r="G11" s="8">
        <f>AVERAGEIF('Sales Log'!$W$14:$W$213,91,'Sales Log'!$Q$14:$Q$213)</f>
        <v>2713.3333333333335</v>
      </c>
    </row>
    <row r="12" spans="1:7" ht="22.5" customHeight="1">
      <c r="A12" s="5" t="s">
        <v>134</v>
      </c>
      <c r="B12" s="8">
        <f>'Sales Log'!$R$214</f>
        <v>3208.8543689320391</v>
      </c>
      <c r="C12" s="8">
        <f>C10+C11</f>
        <v>4082.1428571428573</v>
      </c>
      <c r="D12" s="8">
        <f t="shared" ref="D12:G12" si="0">D10+D11</f>
        <v>3433.1153846153848</v>
      </c>
      <c r="E12" s="8">
        <f t="shared" si="0"/>
        <v>1946.0526315789475</v>
      </c>
      <c r="F12" s="8">
        <f t="shared" si="0"/>
        <v>2351.6153846153848</v>
      </c>
      <c r="G12" s="8">
        <f t="shared" si="0"/>
        <v>751.66666666666674</v>
      </c>
    </row>
    <row r="13" spans="1:7" ht="21.75" customHeight="1">
      <c r="A13" s="5" t="s">
        <v>135</v>
      </c>
      <c r="B13" s="10">
        <f>B12*B3</f>
        <v>330512</v>
      </c>
      <c r="C13" s="10">
        <f>C12*C3</f>
        <v>171450</v>
      </c>
      <c r="D13" s="10">
        <f t="shared" ref="D13:G13" si="1">D12*D3</f>
        <v>89261</v>
      </c>
      <c r="E13" s="10">
        <f t="shared" si="1"/>
        <v>36975</v>
      </c>
      <c r="F13" s="10">
        <f t="shared" si="1"/>
        <v>30571</v>
      </c>
      <c r="G13" s="10">
        <f t="shared" si="1"/>
        <v>2255</v>
      </c>
    </row>
    <row r="14" spans="1:7" ht="21.75" customHeight="1">
      <c r="A14" s="5" t="s">
        <v>89</v>
      </c>
      <c r="B14" s="9">
        <f>(B12/(B7)*(360/B6))</f>
        <v>1.2824836145747567</v>
      </c>
      <c r="C14" s="9">
        <f>(C12/(C7)*(360/C6))</f>
        <v>4.0156286578780751</v>
      </c>
      <c r="D14" s="9">
        <f t="shared" ref="D14:G14" si="2">(D12/(D7)*(360/D6))</f>
        <v>1.4397195854994655</v>
      </c>
      <c r="E14" s="9">
        <f t="shared" si="2"/>
        <v>0.56901917099786448</v>
      </c>
      <c r="F14" s="9">
        <f t="shared" si="2"/>
        <v>0.44918092236361606</v>
      </c>
      <c r="G14" s="9">
        <f t="shared" si="2"/>
        <v>8.9399887561856142E-2</v>
      </c>
    </row>
    <row r="15" spans="1:7" ht="21.75" customHeight="1">
      <c r="A15" s="5" t="s">
        <v>136</v>
      </c>
      <c r="B15" s="9">
        <f>'Sales Log'!AA214/'Scoreboard Total'!B3</f>
        <v>0.27184466019417475</v>
      </c>
      <c r="C15" s="9">
        <f>COUNTIFS('Sales Log'!$W$14:$W$213,30,'Sales Log'!$AA$14:$AA$213,"Yes")/C$3</f>
        <v>0.30952380952380953</v>
      </c>
      <c r="D15" s="9">
        <f>COUNTIFS('Sales Log'!$W$14:$W$213,45,'Sales Log'!$AA$14:$AA$213,"Yes")/D$3</f>
        <v>0.34615384615384615</v>
      </c>
      <c r="E15" s="9">
        <f>COUNTIFS('Sales Log'!$W$14:$W$213,60,'Sales Log'!$AA$14:$AA$213,"Yes")/E$3</f>
        <v>0.26315789473684209</v>
      </c>
      <c r="F15" s="9">
        <f>COUNTIFS('Sales Log'!$W$14:$W$213,90,'Sales Log'!$AA$14:$AA$213,"Yes")/F$3</f>
        <v>7.6923076923076927E-2</v>
      </c>
      <c r="G15" s="9">
        <f>COUNTIFS('Sales Log'!$W$14:$W$213,91,'Sales Log'!$AA$14:$AA$213,"Yes")/G$3</f>
        <v>0</v>
      </c>
    </row>
    <row r="16" spans="1:7" ht="21.75" customHeight="1">
      <c r="A16" s="5" t="s">
        <v>137</v>
      </c>
      <c r="B16" s="114">
        <f>'Sales Log'!$AB$214</f>
        <v>277.99029126213594</v>
      </c>
      <c r="C16" s="114">
        <f>AVERAGEIF('Sales Log'!$W$14:$W$213,30,'Sales Log'!$AB$14:$AB$213)</f>
        <v>299.59523809523807</v>
      </c>
      <c r="D16" s="114">
        <f>AVERAGEIF('Sales Log'!$W$14:$W$213,45,'Sales Log'!$AB$14:$AB$213)</f>
        <v>442.30769230769232</v>
      </c>
      <c r="E16" s="114">
        <f>AVERAGEIF('Sales Log'!$W$14:$W$213,60,'Sales Log'!$AB$14:$AB$213)</f>
        <v>189.47368421052633</v>
      </c>
      <c r="F16" s="114">
        <f>AVERAGEIF('Sales Log'!$W$14:$W$213,90,'Sales Log'!$AB$14:$AB$213)</f>
        <v>73.07692307692308</v>
      </c>
      <c r="G16" s="114">
        <f>AVERAGEIF('Sales Log'!$W$14:$W$213,91,'Sales Log'!$AB$14:$AB$213)</f>
        <v>0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zoomScale="130" zoomScaleNormal="130" workbookViewId="0">
      <pane ySplit="13" topLeftCell="A14" activePane="bottomLeft" state="frozen"/>
      <selection pane="bottomLeft" activeCell="L117" sqref="L117"/>
    </sheetView>
  </sheetViews>
  <sheetFormatPr baseColWidth="10" defaultColWidth="9.1640625" defaultRowHeight="16"/>
  <cols>
    <col min="1" max="1" width="4.83203125" style="109" customWidth="1"/>
    <col min="2" max="2" width="10.5" style="109" customWidth="1"/>
    <col min="3" max="3" width="5.33203125" style="110" bestFit="1" customWidth="1"/>
    <col min="4" max="4" width="13.6640625" style="110" bestFit="1" customWidth="1"/>
    <col min="5" max="5" width="14.5" style="110" bestFit="1" customWidth="1"/>
    <col min="6" max="6" width="7.1640625" style="110" bestFit="1" customWidth="1"/>
    <col min="7" max="7" width="18.83203125" style="109" bestFit="1" customWidth="1"/>
    <col min="8" max="8" width="4.1640625" style="111" bestFit="1" customWidth="1"/>
    <col min="9" max="9" width="11" style="111" hidden="1" customWidth="1"/>
    <col min="10" max="10" width="15.5" style="51" bestFit="1" customWidth="1"/>
    <col min="11" max="11" width="11.83203125" style="51" bestFit="1" customWidth="1"/>
    <col min="12" max="12" width="15.5" style="51" customWidth="1"/>
    <col min="13" max="13" width="12.5" style="51" hidden="1" customWidth="1"/>
    <col min="14" max="14" width="13.1640625" style="51" hidden="1" customWidth="1"/>
    <col min="15" max="15" width="13.5" style="51" hidden="1" customWidth="1"/>
    <col min="16" max="16" width="9.5" style="112" bestFit="1" customWidth="1"/>
    <col min="17" max="17" width="8.5" style="112" bestFit="1" customWidth="1"/>
    <col min="18" max="18" width="9.1640625" style="51" hidden="1" customWidth="1"/>
    <col min="19" max="19" width="7.83203125" style="51" hidden="1" customWidth="1"/>
    <col min="20" max="20" width="14.5" style="51" bestFit="1" customWidth="1"/>
    <col min="21" max="21" width="13.83203125" style="51" bestFit="1" customWidth="1"/>
    <col min="22" max="22" width="16.5" style="51" bestFit="1" customWidth="1"/>
    <col min="23" max="23" width="12.1640625" style="51" hidden="1" customWidth="1"/>
    <col min="24" max="24" width="18.83203125" style="51" hidden="1" customWidth="1"/>
    <col min="25" max="25" width="7.1640625" style="51" hidden="1" customWidth="1"/>
    <col min="26" max="26" width="10.1640625" style="51" hidden="1" customWidth="1"/>
    <col min="27" max="27" width="6" style="51" bestFit="1" customWidth="1"/>
    <col min="28" max="28" width="10.1640625" style="51" customWidth="1"/>
    <col min="29" max="16384" width="9.1640625" style="51"/>
  </cols>
  <sheetData>
    <row r="1" spans="1:28" ht="21">
      <c r="A1" s="46" t="s">
        <v>55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57</v>
      </c>
      <c r="B4" s="118" t="s">
        <v>58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59</v>
      </c>
      <c r="B5" s="118" t="s">
        <v>60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61</v>
      </c>
      <c r="B6" s="118" t="s">
        <v>62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63</v>
      </c>
      <c r="B7" s="118" t="s">
        <v>64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65</v>
      </c>
      <c r="B8" s="118" t="s">
        <v>66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67</v>
      </c>
      <c r="B9" s="120" t="s">
        <v>68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69</v>
      </c>
      <c r="B10" s="120" t="s">
        <v>70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64">
      <c r="A12" s="56" t="s">
        <v>71</v>
      </c>
      <c r="B12" s="56" t="s">
        <v>72</v>
      </c>
      <c r="C12" s="57" t="s">
        <v>73</v>
      </c>
      <c r="D12" s="57" t="s">
        <v>74</v>
      </c>
      <c r="E12" s="57" t="s">
        <v>75</v>
      </c>
      <c r="F12" s="57" t="s">
        <v>76</v>
      </c>
      <c r="G12" s="56" t="s">
        <v>77</v>
      </c>
      <c r="H12" s="56" t="s">
        <v>78</v>
      </c>
      <c r="I12" s="56" t="s">
        <v>79</v>
      </c>
      <c r="J12" s="58" t="s">
        <v>80</v>
      </c>
      <c r="K12" s="58" t="s">
        <v>81</v>
      </c>
      <c r="L12" s="58" t="s">
        <v>82</v>
      </c>
      <c r="M12" s="58" t="s">
        <v>83</v>
      </c>
      <c r="N12" s="58" t="s">
        <v>84</v>
      </c>
      <c r="O12" s="58" t="s">
        <v>85</v>
      </c>
      <c r="P12" s="58" t="s">
        <v>86</v>
      </c>
      <c r="Q12" s="58" t="s">
        <v>87</v>
      </c>
      <c r="R12" s="58" t="s">
        <v>88</v>
      </c>
      <c r="S12" s="58" t="s">
        <v>89</v>
      </c>
      <c r="T12" s="58" t="s">
        <v>90</v>
      </c>
      <c r="U12" s="58" t="s">
        <v>91</v>
      </c>
      <c r="V12" s="58" t="s">
        <v>92</v>
      </c>
      <c r="W12" s="59" t="s">
        <v>93</v>
      </c>
      <c r="X12" s="59" t="s">
        <v>94</v>
      </c>
      <c r="Y12" s="59" t="s">
        <v>95</v>
      </c>
      <c r="Z12" s="59" t="s">
        <v>96</v>
      </c>
      <c r="AA12" s="56" t="s">
        <v>97</v>
      </c>
      <c r="AB12" s="56" t="s">
        <v>98</v>
      </c>
    </row>
    <row r="13" spans="1:28" ht="15">
      <c r="A13" s="61" t="s">
        <v>99</v>
      </c>
      <c r="B13" s="61" t="s">
        <v>100</v>
      </c>
      <c r="C13" s="62">
        <v>2015</v>
      </c>
      <c r="D13" s="62" t="s">
        <v>16</v>
      </c>
      <c r="E13" s="62" t="s">
        <v>101</v>
      </c>
      <c r="F13" s="62">
        <v>30</v>
      </c>
      <c r="G13" s="62" t="s">
        <v>102</v>
      </c>
      <c r="H13" s="62" t="s">
        <v>103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104</v>
      </c>
      <c r="U13" s="72" t="s">
        <v>105</v>
      </c>
      <c r="V13" s="72" t="s">
        <v>5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102</v>
      </c>
      <c r="Y13" s="74" t="s">
        <v>103</v>
      </c>
      <c r="Z13" s="74" t="s">
        <v>106</v>
      </c>
      <c r="AA13" s="62" t="s">
        <v>107</v>
      </c>
      <c r="AB13" s="68">
        <v>2000</v>
      </c>
    </row>
    <row r="14" spans="1:28" ht="15">
      <c r="A14" s="15">
        <v>1</v>
      </c>
      <c r="B14" s="15" t="s">
        <v>186</v>
      </c>
      <c r="C14" s="16">
        <v>2020</v>
      </c>
      <c r="D14" s="75" t="s">
        <v>189</v>
      </c>
      <c r="E14" s="16" t="s">
        <v>191</v>
      </c>
      <c r="F14" s="17">
        <v>1</v>
      </c>
      <c r="G14" s="75" t="s">
        <v>116</v>
      </c>
      <c r="H14" s="75" t="s">
        <v>103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7">
        <v>16481</v>
      </c>
      <c r="K14" s="37">
        <v>16481</v>
      </c>
      <c r="L14" s="77">
        <v>1</v>
      </c>
      <c r="M14" s="78">
        <f t="shared" ref="M14:M15" si="3">J14/L14</f>
        <v>16481</v>
      </c>
      <c r="N14" s="79">
        <f t="shared" ref="N14:N15" si="4">K14/M14</f>
        <v>1</v>
      </c>
      <c r="O14" s="80">
        <f t="shared" ref="O14:O15" si="5">IF(K14=0,"BLANK",(J14-K14))</f>
        <v>0</v>
      </c>
      <c r="P14" s="19">
        <v>1923</v>
      </c>
      <c r="Q14" s="19">
        <v>1755</v>
      </c>
      <c r="R14" s="81">
        <f t="shared" ref="R14:R15" si="6">IF(K14=0,"BLANK",SUM(P14:Q14))</f>
        <v>3678</v>
      </c>
      <c r="S14" s="82">
        <f t="shared" ref="S14:S15" si="7">(R14/(K14-P14))*(360/F14)</f>
        <v>90.95205385355132</v>
      </c>
      <c r="T14" s="83" t="s">
        <v>161</v>
      </c>
      <c r="U14" s="83" t="s">
        <v>153</v>
      </c>
      <c r="V14" s="83" t="s">
        <v>157</v>
      </c>
      <c r="W14" s="113">
        <f t="shared" si="2"/>
        <v>30</v>
      </c>
      <c r="X14" s="74" t="s">
        <v>109</v>
      </c>
      <c r="Y14" s="74" t="s">
        <v>107</v>
      </c>
      <c r="Z14" s="74" t="s">
        <v>110</v>
      </c>
      <c r="AA14" s="75" t="s">
        <v>103</v>
      </c>
      <c r="AB14" s="44">
        <v>0</v>
      </c>
    </row>
    <row r="15" spans="1:28" ht="15">
      <c r="A15" s="15">
        <f t="shared" ref="A15:A78" si="8">A14+1</f>
        <v>2</v>
      </c>
      <c r="B15" s="15" t="s">
        <v>187</v>
      </c>
      <c r="C15" s="16">
        <v>2020</v>
      </c>
      <c r="D15" s="75" t="s">
        <v>189</v>
      </c>
      <c r="E15" s="16" t="s">
        <v>191</v>
      </c>
      <c r="F15" s="17">
        <v>30</v>
      </c>
      <c r="G15" s="75" t="s">
        <v>118</v>
      </c>
      <c r="H15" s="75" t="s">
        <v>103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22994</v>
      </c>
      <c r="K15" s="37">
        <v>22994</v>
      </c>
      <c r="L15" s="35">
        <v>0.91</v>
      </c>
      <c r="M15" s="78">
        <f t="shared" si="3"/>
        <v>25268.131868131866</v>
      </c>
      <c r="N15" s="79">
        <f t="shared" si="4"/>
        <v>0.91</v>
      </c>
      <c r="O15" s="80">
        <f t="shared" si="5"/>
        <v>0</v>
      </c>
      <c r="P15" s="19">
        <v>-469</v>
      </c>
      <c r="Q15" s="19">
        <v>2722</v>
      </c>
      <c r="R15" s="81">
        <f t="shared" si="6"/>
        <v>2253</v>
      </c>
      <c r="S15" s="82">
        <f t="shared" si="7"/>
        <v>1.1522823168392788</v>
      </c>
      <c r="T15" s="83" t="s">
        <v>168</v>
      </c>
      <c r="U15" s="83" t="s">
        <v>153</v>
      </c>
      <c r="V15" s="83" t="s">
        <v>157</v>
      </c>
      <c r="W15" s="113">
        <f t="shared" si="2"/>
        <v>30</v>
      </c>
      <c r="X15" s="74" t="s">
        <v>111</v>
      </c>
      <c r="Z15" s="74" t="s">
        <v>112</v>
      </c>
      <c r="AA15" s="75" t="s">
        <v>107</v>
      </c>
      <c r="AB15" s="44">
        <v>500</v>
      </c>
    </row>
    <row r="16" spans="1:28" ht="15">
      <c r="A16" s="15">
        <f t="shared" si="8"/>
        <v>3</v>
      </c>
      <c r="B16" s="15" t="s">
        <v>188</v>
      </c>
      <c r="C16" s="16">
        <v>2019</v>
      </c>
      <c r="D16" s="75" t="s">
        <v>190</v>
      </c>
      <c r="E16" s="16" t="s">
        <v>192</v>
      </c>
      <c r="F16" s="17">
        <v>8</v>
      </c>
      <c r="G16" s="75" t="s">
        <v>102</v>
      </c>
      <c r="H16" s="75" t="s">
        <v>103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7">
        <v>17244</v>
      </c>
      <c r="K16" s="37">
        <v>16655</v>
      </c>
      <c r="L16" s="35">
        <v>1.02</v>
      </c>
      <c r="M16" s="78">
        <f t="shared" ref="M16:M78" si="9">J16/L16</f>
        <v>16905.882352941175</v>
      </c>
      <c r="N16" s="79">
        <f t="shared" ref="N16:N78" si="10">K16/M16</f>
        <v>0.98516005567153797</v>
      </c>
      <c r="O16" s="80">
        <f t="shared" si="0"/>
        <v>589</v>
      </c>
      <c r="P16" s="19">
        <v>540</v>
      </c>
      <c r="Q16" s="19">
        <v>162</v>
      </c>
      <c r="R16" s="81">
        <f t="shared" si="1"/>
        <v>702</v>
      </c>
      <c r="S16" s="82">
        <f t="shared" ref="S16:S78" si="11">(R16/(K16-P16))*(360/F16)</f>
        <v>1.9602854483400558</v>
      </c>
      <c r="T16" s="83" t="s">
        <v>176</v>
      </c>
      <c r="U16" s="83" t="s">
        <v>153</v>
      </c>
      <c r="V16" s="83" t="s">
        <v>157</v>
      </c>
      <c r="W16" s="113">
        <f t="shared" si="2"/>
        <v>30</v>
      </c>
      <c r="X16" s="74" t="s">
        <v>108</v>
      </c>
      <c r="Z16" s="74" t="s">
        <v>113</v>
      </c>
      <c r="AA16" s="75" t="s">
        <v>103</v>
      </c>
      <c r="AB16" s="44">
        <v>0</v>
      </c>
    </row>
    <row r="17" spans="1:28" ht="15">
      <c r="A17" s="15">
        <f t="shared" si="8"/>
        <v>4</v>
      </c>
      <c r="B17" s="15" t="s">
        <v>193</v>
      </c>
      <c r="C17" s="16">
        <v>2020</v>
      </c>
      <c r="D17" s="75" t="s">
        <v>190</v>
      </c>
      <c r="E17" s="16" t="s">
        <v>192</v>
      </c>
      <c r="F17" s="17">
        <v>34</v>
      </c>
      <c r="G17" s="75" t="s">
        <v>108</v>
      </c>
      <c r="H17" s="75" t="s">
        <v>103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37">
        <v>18864</v>
      </c>
      <c r="K17" s="37">
        <v>18864</v>
      </c>
      <c r="L17" s="35">
        <v>0.87</v>
      </c>
      <c r="M17" s="78">
        <f t="shared" si="9"/>
        <v>21682.758620689656</v>
      </c>
      <c r="N17" s="79">
        <f t="shared" si="10"/>
        <v>0.87</v>
      </c>
      <c r="O17" s="80">
        <f t="shared" si="0"/>
        <v>0</v>
      </c>
      <c r="P17" s="19">
        <v>1009</v>
      </c>
      <c r="Q17" s="19">
        <v>3153</v>
      </c>
      <c r="R17" s="81">
        <f t="shared" si="1"/>
        <v>4162</v>
      </c>
      <c r="S17" s="82">
        <f t="shared" si="11"/>
        <v>2.4681173505526544</v>
      </c>
      <c r="T17" s="83" t="s">
        <v>185</v>
      </c>
      <c r="U17" s="83" t="s">
        <v>152</v>
      </c>
      <c r="V17" s="83" t="s">
        <v>157</v>
      </c>
      <c r="W17" s="113">
        <f t="shared" si="2"/>
        <v>45</v>
      </c>
      <c r="X17" s="74" t="s">
        <v>114</v>
      </c>
      <c r="Z17" s="74" t="s">
        <v>115</v>
      </c>
      <c r="AA17" s="75" t="s">
        <v>103</v>
      </c>
      <c r="AB17" s="44">
        <v>0</v>
      </c>
    </row>
    <row r="18" spans="1:28" ht="15">
      <c r="A18" s="15">
        <f t="shared" si="8"/>
        <v>5</v>
      </c>
      <c r="B18" s="15" t="s">
        <v>195</v>
      </c>
      <c r="C18" s="16">
        <v>2022</v>
      </c>
      <c r="D18" s="75" t="s">
        <v>189</v>
      </c>
      <c r="E18" s="16" t="s">
        <v>194</v>
      </c>
      <c r="F18" s="17">
        <v>102</v>
      </c>
      <c r="G18" s="75" t="s">
        <v>108</v>
      </c>
      <c r="H18" s="75" t="s">
        <v>103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>
        <v>30550</v>
      </c>
      <c r="K18" s="37">
        <v>30550</v>
      </c>
      <c r="L18" s="35">
        <v>0.8</v>
      </c>
      <c r="M18" s="78">
        <f t="shared" si="9"/>
        <v>38187.5</v>
      </c>
      <c r="N18" s="79">
        <f t="shared" si="10"/>
        <v>0.8</v>
      </c>
      <c r="O18" s="80">
        <f t="shared" si="0"/>
        <v>0</v>
      </c>
      <c r="P18" s="19">
        <v>-2137</v>
      </c>
      <c r="Q18" s="19">
        <v>2780</v>
      </c>
      <c r="R18" s="81">
        <f t="shared" si="1"/>
        <v>643</v>
      </c>
      <c r="S18" s="82">
        <f t="shared" si="11"/>
        <v>6.9428572971085817E-2</v>
      </c>
      <c r="T18" s="83" t="s">
        <v>159</v>
      </c>
      <c r="U18" s="83" t="s">
        <v>152</v>
      </c>
      <c r="V18" s="83" t="s">
        <v>155</v>
      </c>
      <c r="W18" s="113">
        <f t="shared" si="2"/>
        <v>91</v>
      </c>
      <c r="X18" s="74" t="s">
        <v>116</v>
      </c>
      <c r="AA18" s="75" t="s">
        <v>103</v>
      </c>
      <c r="AB18" s="44">
        <v>0</v>
      </c>
    </row>
    <row r="19" spans="1:28" ht="15">
      <c r="A19" s="15">
        <f t="shared" si="8"/>
        <v>6</v>
      </c>
      <c r="B19" s="15" t="s">
        <v>196</v>
      </c>
      <c r="C19" s="16">
        <v>2021</v>
      </c>
      <c r="D19" s="75" t="s">
        <v>189</v>
      </c>
      <c r="E19" s="16" t="s">
        <v>191</v>
      </c>
      <c r="F19" s="17">
        <v>34</v>
      </c>
      <c r="G19" s="75" t="s">
        <v>108</v>
      </c>
      <c r="H19" s="75" t="s">
        <v>103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37">
        <v>22477</v>
      </c>
      <c r="K19" s="37">
        <v>22477</v>
      </c>
      <c r="L19" s="35">
        <v>0.87</v>
      </c>
      <c r="M19" s="78">
        <f t="shared" si="9"/>
        <v>25835.632183908045</v>
      </c>
      <c r="N19" s="79">
        <f t="shared" si="10"/>
        <v>0.87</v>
      </c>
      <c r="O19" s="80">
        <f t="shared" si="0"/>
        <v>0</v>
      </c>
      <c r="P19" s="19">
        <v>1442</v>
      </c>
      <c r="Q19" s="19">
        <v>3396</v>
      </c>
      <c r="R19" s="81">
        <f t="shared" si="1"/>
        <v>4838</v>
      </c>
      <c r="S19" s="82">
        <f t="shared" si="11"/>
        <v>2.4352689495099202</v>
      </c>
      <c r="T19" s="83" t="s">
        <v>170</v>
      </c>
      <c r="U19" s="83" t="s">
        <v>152</v>
      </c>
      <c r="V19" s="83" t="s">
        <v>155</v>
      </c>
      <c r="W19" s="113">
        <f t="shared" si="2"/>
        <v>45</v>
      </c>
      <c r="X19" s="74" t="s">
        <v>117</v>
      </c>
      <c r="AA19" s="75" t="s">
        <v>103</v>
      </c>
      <c r="AB19" s="44">
        <v>0</v>
      </c>
    </row>
    <row r="20" spans="1:28" ht="15">
      <c r="A20" s="15">
        <f t="shared" si="8"/>
        <v>7</v>
      </c>
      <c r="B20" s="15" t="s">
        <v>197</v>
      </c>
      <c r="C20" s="16">
        <v>2021</v>
      </c>
      <c r="D20" s="75" t="s">
        <v>189</v>
      </c>
      <c r="E20" s="16" t="s">
        <v>198</v>
      </c>
      <c r="F20" s="17">
        <v>68</v>
      </c>
      <c r="G20" s="75" t="s">
        <v>108</v>
      </c>
      <c r="H20" s="75" t="s">
        <v>103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37">
        <v>32550</v>
      </c>
      <c r="K20" s="37">
        <v>32550</v>
      </c>
      <c r="L20" s="35">
        <v>0.8</v>
      </c>
      <c r="M20" s="78">
        <f t="shared" si="9"/>
        <v>40687.5</v>
      </c>
      <c r="N20" s="79">
        <f t="shared" si="10"/>
        <v>0.8</v>
      </c>
      <c r="O20" s="80">
        <f t="shared" si="0"/>
        <v>0</v>
      </c>
      <c r="P20" s="19">
        <v>-444</v>
      </c>
      <c r="Q20" s="19">
        <v>3229</v>
      </c>
      <c r="R20" s="81">
        <f t="shared" si="1"/>
        <v>2785</v>
      </c>
      <c r="S20" s="82">
        <f t="shared" si="11"/>
        <v>0.44687269343089114</v>
      </c>
      <c r="T20" s="83" t="s">
        <v>175</v>
      </c>
      <c r="U20" s="83" t="s">
        <v>152</v>
      </c>
      <c r="V20" s="83" t="s">
        <v>157</v>
      </c>
      <c r="W20" s="113">
        <f t="shared" si="2"/>
        <v>90</v>
      </c>
      <c r="X20" s="74" t="s">
        <v>118</v>
      </c>
      <c r="AA20" s="75" t="s">
        <v>103</v>
      </c>
      <c r="AB20" s="44">
        <v>0</v>
      </c>
    </row>
    <row r="21" spans="1:28" ht="15">
      <c r="A21" s="15">
        <f t="shared" si="8"/>
        <v>8</v>
      </c>
      <c r="B21" s="15" t="s">
        <v>199</v>
      </c>
      <c r="C21" s="16">
        <v>2020</v>
      </c>
      <c r="D21" s="75" t="s">
        <v>189</v>
      </c>
      <c r="E21" s="16" t="s">
        <v>200</v>
      </c>
      <c r="F21" s="17">
        <v>43</v>
      </c>
      <c r="G21" s="75" t="s">
        <v>118</v>
      </c>
      <c r="H21" s="75" t="s">
        <v>103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>
        <v>16819</v>
      </c>
      <c r="K21" s="37">
        <v>16819</v>
      </c>
      <c r="L21" s="35">
        <v>0.85</v>
      </c>
      <c r="M21" s="78">
        <f t="shared" si="9"/>
        <v>19787.058823529413</v>
      </c>
      <c r="N21" s="79">
        <f t="shared" si="10"/>
        <v>0.85</v>
      </c>
      <c r="O21" s="80">
        <f t="shared" si="0"/>
        <v>0</v>
      </c>
      <c r="P21" s="19">
        <v>-354</v>
      </c>
      <c r="Q21" s="19">
        <v>1741</v>
      </c>
      <c r="R21" s="81">
        <f t="shared" si="1"/>
        <v>1387</v>
      </c>
      <c r="S21" s="82">
        <f t="shared" si="11"/>
        <v>0.67618313767284777</v>
      </c>
      <c r="T21" s="83" t="s">
        <v>173</v>
      </c>
      <c r="U21" s="83" t="s">
        <v>153</v>
      </c>
      <c r="V21" s="83" t="s">
        <v>155</v>
      </c>
      <c r="W21" s="113">
        <f t="shared" si="2"/>
        <v>45</v>
      </c>
      <c r="X21" s="74" t="s">
        <v>119</v>
      </c>
      <c r="AA21" s="75" t="s">
        <v>103</v>
      </c>
      <c r="AB21" s="44">
        <v>0</v>
      </c>
    </row>
    <row r="22" spans="1:28" ht="15">
      <c r="A22" s="15">
        <f t="shared" si="8"/>
        <v>9</v>
      </c>
      <c r="B22" s="15" t="s">
        <v>201</v>
      </c>
      <c r="C22" s="16">
        <v>2019</v>
      </c>
      <c r="D22" s="75" t="s">
        <v>6</v>
      </c>
      <c r="E22" s="16" t="s">
        <v>202</v>
      </c>
      <c r="F22" s="17">
        <v>21</v>
      </c>
      <c r="G22" s="75" t="s">
        <v>102</v>
      </c>
      <c r="H22" s="75" t="s">
        <v>103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7">
        <v>17998</v>
      </c>
      <c r="K22" s="37">
        <v>17998</v>
      </c>
      <c r="L22" s="35">
        <v>0.97</v>
      </c>
      <c r="M22" s="78">
        <f t="shared" si="9"/>
        <v>18554.639175257733</v>
      </c>
      <c r="N22" s="79">
        <f t="shared" si="10"/>
        <v>0.97</v>
      </c>
      <c r="O22" s="80">
        <f t="shared" si="0"/>
        <v>0</v>
      </c>
      <c r="P22" s="19">
        <v>-1635</v>
      </c>
      <c r="Q22" s="19">
        <v>1331</v>
      </c>
      <c r="R22" s="81">
        <f t="shared" si="1"/>
        <v>-304</v>
      </c>
      <c r="S22" s="82">
        <f t="shared" si="11"/>
        <v>-0.26544229467878427</v>
      </c>
      <c r="T22" s="83" t="s">
        <v>164</v>
      </c>
      <c r="U22" s="83" t="s">
        <v>153</v>
      </c>
      <c r="V22" s="83" t="s">
        <v>157</v>
      </c>
      <c r="W22" s="113">
        <f t="shared" si="2"/>
        <v>30</v>
      </c>
      <c r="AA22" s="75" t="s">
        <v>103</v>
      </c>
      <c r="AB22" s="44">
        <v>0</v>
      </c>
    </row>
    <row r="23" spans="1:28" ht="15">
      <c r="A23" s="15">
        <f t="shared" si="8"/>
        <v>10</v>
      </c>
      <c r="B23" s="15" t="s">
        <v>203</v>
      </c>
      <c r="C23" s="16">
        <v>2021</v>
      </c>
      <c r="D23" s="75" t="s">
        <v>189</v>
      </c>
      <c r="E23" s="16" t="s">
        <v>191</v>
      </c>
      <c r="F23" s="17">
        <v>20</v>
      </c>
      <c r="G23" s="75" t="s">
        <v>108</v>
      </c>
      <c r="H23" s="75" t="s">
        <v>103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28265</v>
      </c>
      <c r="K23" s="37">
        <v>32260</v>
      </c>
      <c r="L23" s="35">
        <v>0.97</v>
      </c>
      <c r="M23" s="78">
        <f t="shared" si="9"/>
        <v>29139.17525773196</v>
      </c>
      <c r="N23" s="79">
        <f t="shared" si="10"/>
        <v>1.1071006545197239</v>
      </c>
      <c r="O23" s="80">
        <f t="shared" si="0"/>
        <v>-3995</v>
      </c>
      <c r="P23" s="19">
        <v>7180</v>
      </c>
      <c r="Q23" s="19">
        <v>3951</v>
      </c>
      <c r="R23" s="81">
        <f t="shared" si="1"/>
        <v>11131</v>
      </c>
      <c r="S23" s="82">
        <f t="shared" si="11"/>
        <v>7.9887559808612441</v>
      </c>
      <c r="T23" s="83" t="s">
        <v>177</v>
      </c>
      <c r="U23" s="83" t="s">
        <v>153</v>
      </c>
      <c r="V23" s="83" t="s">
        <v>157</v>
      </c>
      <c r="W23" s="113">
        <f t="shared" si="2"/>
        <v>30</v>
      </c>
      <c r="AA23" s="75" t="s">
        <v>103</v>
      </c>
      <c r="AB23" s="44">
        <v>0</v>
      </c>
    </row>
    <row r="24" spans="1:28" ht="15">
      <c r="A24" s="15">
        <f t="shared" si="8"/>
        <v>11</v>
      </c>
      <c r="B24" s="15" t="s">
        <v>204</v>
      </c>
      <c r="C24" s="16">
        <v>2021</v>
      </c>
      <c r="D24" s="75" t="s">
        <v>189</v>
      </c>
      <c r="E24" s="16" t="s">
        <v>191</v>
      </c>
      <c r="F24" s="17">
        <v>17</v>
      </c>
      <c r="G24" s="75" t="s">
        <v>119</v>
      </c>
      <c r="H24" s="75" t="s">
        <v>103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29365</v>
      </c>
      <c r="K24" s="37">
        <v>29365</v>
      </c>
      <c r="L24" s="35">
        <v>0.97</v>
      </c>
      <c r="M24" s="78">
        <f t="shared" si="9"/>
        <v>30273.195876288661</v>
      </c>
      <c r="N24" s="79">
        <f t="shared" si="10"/>
        <v>0.97</v>
      </c>
      <c r="O24" s="80">
        <f t="shared" si="0"/>
        <v>0</v>
      </c>
      <c r="P24" s="19">
        <v>1048</v>
      </c>
      <c r="Q24" s="19">
        <v>770</v>
      </c>
      <c r="R24" s="81">
        <f t="shared" si="1"/>
        <v>1818</v>
      </c>
      <c r="S24" s="82">
        <f t="shared" si="11"/>
        <v>1.3595657565918624</v>
      </c>
      <c r="T24" s="83" t="s">
        <v>164</v>
      </c>
      <c r="U24" s="83" t="s">
        <v>153</v>
      </c>
      <c r="V24" s="83" t="s">
        <v>157</v>
      </c>
      <c r="W24" s="113">
        <f t="shared" si="2"/>
        <v>30</v>
      </c>
      <c r="AA24" s="75" t="s">
        <v>103</v>
      </c>
      <c r="AB24" s="44">
        <v>0</v>
      </c>
    </row>
    <row r="25" spans="1:28" ht="15">
      <c r="A25" s="15">
        <f t="shared" si="8"/>
        <v>12</v>
      </c>
      <c r="B25" s="15" t="s">
        <v>205</v>
      </c>
      <c r="C25" s="16">
        <v>2019</v>
      </c>
      <c r="D25" s="75" t="s">
        <v>189</v>
      </c>
      <c r="E25" s="16" t="s">
        <v>206</v>
      </c>
      <c r="F25" s="17">
        <v>33</v>
      </c>
      <c r="G25" s="75" t="s">
        <v>108</v>
      </c>
      <c r="H25" s="75" t="s">
        <v>103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7">
        <v>28766</v>
      </c>
      <c r="K25" s="37">
        <v>28766</v>
      </c>
      <c r="L25" s="35">
        <v>0.87</v>
      </c>
      <c r="M25" s="78">
        <f t="shared" si="9"/>
        <v>33064.367816091952</v>
      </c>
      <c r="N25" s="79">
        <f t="shared" si="10"/>
        <v>0.87000000000000011</v>
      </c>
      <c r="O25" s="80">
        <f t="shared" si="0"/>
        <v>0</v>
      </c>
      <c r="P25" s="19">
        <v>-2250</v>
      </c>
      <c r="Q25" s="19">
        <v>523</v>
      </c>
      <c r="R25" s="81">
        <f t="shared" si="1"/>
        <v>-1727</v>
      </c>
      <c r="S25" s="82">
        <f t="shared" si="11"/>
        <v>-0.60742842403920549</v>
      </c>
      <c r="T25" s="83" t="s">
        <v>173</v>
      </c>
      <c r="U25" s="83" t="s">
        <v>154</v>
      </c>
      <c r="V25" s="83" t="s">
        <v>155</v>
      </c>
      <c r="W25" s="113">
        <f t="shared" si="2"/>
        <v>45</v>
      </c>
      <c r="AA25" s="75" t="s">
        <v>103</v>
      </c>
      <c r="AB25" s="44">
        <v>0</v>
      </c>
    </row>
    <row r="26" spans="1:28" ht="15">
      <c r="A26" s="15">
        <f t="shared" si="8"/>
        <v>13</v>
      </c>
      <c r="B26" s="15" t="s">
        <v>207</v>
      </c>
      <c r="C26" s="16">
        <v>2021</v>
      </c>
      <c r="D26" s="75" t="s">
        <v>189</v>
      </c>
      <c r="E26" s="16" t="s">
        <v>208</v>
      </c>
      <c r="F26" s="17">
        <v>36</v>
      </c>
      <c r="G26" s="75" t="s">
        <v>102</v>
      </c>
      <c r="H26" s="75" t="s">
        <v>103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27082</v>
      </c>
      <c r="K26" s="37">
        <v>27082</v>
      </c>
      <c r="L26" s="35">
        <v>0.87</v>
      </c>
      <c r="M26" s="78">
        <f t="shared" si="9"/>
        <v>31128.735632183907</v>
      </c>
      <c r="N26" s="79">
        <f t="shared" si="10"/>
        <v>0.87</v>
      </c>
      <c r="O26" s="80">
        <f t="shared" si="0"/>
        <v>0</v>
      </c>
      <c r="P26" s="19">
        <v>1452</v>
      </c>
      <c r="Q26" s="19">
        <v>1827</v>
      </c>
      <c r="R26" s="81">
        <f t="shared" si="1"/>
        <v>3279</v>
      </c>
      <c r="S26" s="82">
        <f t="shared" si="11"/>
        <v>1.279360124853687</v>
      </c>
      <c r="T26" s="83" t="s">
        <v>182</v>
      </c>
      <c r="U26" s="83" t="s">
        <v>153</v>
      </c>
      <c r="V26" s="83" t="s">
        <v>155</v>
      </c>
      <c r="W26" s="113">
        <f t="shared" si="2"/>
        <v>45</v>
      </c>
      <c r="AA26" s="75" t="s">
        <v>107</v>
      </c>
      <c r="AB26" s="44">
        <v>2200</v>
      </c>
    </row>
    <row r="27" spans="1:28" ht="15">
      <c r="A27" s="15">
        <f t="shared" si="8"/>
        <v>14</v>
      </c>
      <c r="B27" s="15" t="s">
        <v>209</v>
      </c>
      <c r="C27" s="16">
        <v>2021</v>
      </c>
      <c r="D27" s="75" t="s">
        <v>189</v>
      </c>
      <c r="E27" s="16" t="s">
        <v>191</v>
      </c>
      <c r="F27" s="17">
        <v>74</v>
      </c>
      <c r="G27" s="75" t="s">
        <v>108</v>
      </c>
      <c r="H27" s="75" t="s">
        <v>103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37">
        <v>23600</v>
      </c>
      <c r="K27" s="37">
        <v>23600</v>
      </c>
      <c r="L27" s="35">
        <v>0.8</v>
      </c>
      <c r="M27" s="78">
        <f t="shared" si="9"/>
        <v>29500</v>
      </c>
      <c r="N27" s="79">
        <f t="shared" si="10"/>
        <v>0.8</v>
      </c>
      <c r="O27" s="80">
        <f t="shared" si="0"/>
        <v>0</v>
      </c>
      <c r="P27" s="19">
        <v>-2327</v>
      </c>
      <c r="Q27" s="19">
        <v>411</v>
      </c>
      <c r="R27" s="81">
        <f t="shared" si="1"/>
        <v>-1916</v>
      </c>
      <c r="S27" s="82">
        <f t="shared" si="11"/>
        <v>-0.35951251903733872</v>
      </c>
      <c r="T27" s="83" t="s">
        <v>174</v>
      </c>
      <c r="U27" s="83" t="s">
        <v>152</v>
      </c>
      <c r="V27" s="83" t="s">
        <v>157</v>
      </c>
      <c r="W27" s="113">
        <f t="shared" si="2"/>
        <v>90</v>
      </c>
      <c r="AA27" s="75" t="s">
        <v>103</v>
      </c>
      <c r="AB27" s="44">
        <v>0</v>
      </c>
    </row>
    <row r="28" spans="1:28" ht="15">
      <c r="A28" s="15">
        <f t="shared" si="8"/>
        <v>15</v>
      </c>
      <c r="B28" s="15" t="s">
        <v>210</v>
      </c>
      <c r="C28" s="16">
        <v>2020</v>
      </c>
      <c r="D28" s="75" t="s">
        <v>189</v>
      </c>
      <c r="E28" s="16" t="s">
        <v>191</v>
      </c>
      <c r="F28" s="17">
        <v>77</v>
      </c>
      <c r="G28" s="75" t="s">
        <v>102</v>
      </c>
      <c r="H28" s="75" t="s">
        <v>103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>
        <v>23350</v>
      </c>
      <c r="K28" s="37">
        <v>23350</v>
      </c>
      <c r="L28" s="35">
        <v>0.8</v>
      </c>
      <c r="M28" s="78">
        <f t="shared" si="9"/>
        <v>29187.5</v>
      </c>
      <c r="N28" s="79">
        <f t="shared" si="10"/>
        <v>0.8</v>
      </c>
      <c r="O28" s="80">
        <f t="shared" si="0"/>
        <v>0</v>
      </c>
      <c r="P28" s="19">
        <v>-103</v>
      </c>
      <c r="Q28" s="19">
        <v>3637</v>
      </c>
      <c r="R28" s="81">
        <f t="shared" si="1"/>
        <v>3534</v>
      </c>
      <c r="S28" s="82">
        <f t="shared" si="11"/>
        <v>0.70449824766969693</v>
      </c>
      <c r="T28" s="83" t="s">
        <v>180</v>
      </c>
      <c r="U28" s="83" t="s">
        <v>152</v>
      </c>
      <c r="V28" s="83" t="s">
        <v>157</v>
      </c>
      <c r="W28" s="113">
        <f t="shared" si="2"/>
        <v>90</v>
      </c>
      <c r="AA28" s="75" t="s">
        <v>107</v>
      </c>
      <c r="AB28" s="44">
        <v>950</v>
      </c>
    </row>
    <row r="29" spans="1:28" ht="15">
      <c r="A29" s="15">
        <f t="shared" si="8"/>
        <v>16</v>
      </c>
      <c r="B29" s="15" t="s">
        <v>211</v>
      </c>
      <c r="C29" s="16">
        <v>2021</v>
      </c>
      <c r="D29" s="75" t="s">
        <v>189</v>
      </c>
      <c r="E29" s="16" t="s">
        <v>212</v>
      </c>
      <c r="F29" s="17">
        <v>53</v>
      </c>
      <c r="G29" s="75" t="s">
        <v>108</v>
      </c>
      <c r="H29" s="75" t="s">
        <v>103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>
        <v>28901</v>
      </c>
      <c r="K29" s="37">
        <v>28901</v>
      </c>
      <c r="L29" s="35">
        <v>0.82</v>
      </c>
      <c r="M29" s="78">
        <f t="shared" si="9"/>
        <v>35245.121951219517</v>
      </c>
      <c r="N29" s="79">
        <f t="shared" si="10"/>
        <v>0.82</v>
      </c>
      <c r="O29" s="80">
        <f t="shared" si="0"/>
        <v>0</v>
      </c>
      <c r="P29" s="19">
        <v>-1263</v>
      </c>
      <c r="Q29" s="19">
        <v>239</v>
      </c>
      <c r="R29" s="81">
        <f t="shared" si="1"/>
        <v>-1024</v>
      </c>
      <c r="S29" s="82">
        <f t="shared" si="11"/>
        <v>-0.23058850610373979</v>
      </c>
      <c r="T29" s="83" t="s">
        <v>164</v>
      </c>
      <c r="U29" s="83" t="s">
        <v>152</v>
      </c>
      <c r="V29" s="83" t="s">
        <v>157</v>
      </c>
      <c r="W29" s="113">
        <f t="shared" si="2"/>
        <v>60</v>
      </c>
      <c r="AA29" s="75" t="s">
        <v>107</v>
      </c>
      <c r="AB29" s="44">
        <v>-500</v>
      </c>
    </row>
    <row r="30" spans="1:28" ht="15">
      <c r="A30" s="15">
        <f t="shared" si="8"/>
        <v>17</v>
      </c>
      <c r="B30" s="15" t="s">
        <v>213</v>
      </c>
      <c r="C30" s="16">
        <v>2020</v>
      </c>
      <c r="D30" s="75" t="s">
        <v>189</v>
      </c>
      <c r="E30" s="16" t="s">
        <v>194</v>
      </c>
      <c r="F30" s="17">
        <v>48</v>
      </c>
      <c r="G30" s="75" t="s">
        <v>109</v>
      </c>
      <c r="H30" s="75" t="s">
        <v>103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22338</v>
      </c>
      <c r="K30" s="37">
        <v>22338</v>
      </c>
      <c r="L30" s="35">
        <v>0.84</v>
      </c>
      <c r="M30" s="78">
        <f t="shared" si="9"/>
        <v>26592.857142857145</v>
      </c>
      <c r="N30" s="79">
        <f t="shared" si="10"/>
        <v>0.84</v>
      </c>
      <c r="O30" s="80">
        <f t="shared" si="0"/>
        <v>0</v>
      </c>
      <c r="P30" s="19">
        <v>-2120</v>
      </c>
      <c r="Q30" s="19">
        <v>5167</v>
      </c>
      <c r="R30" s="81">
        <f t="shared" si="1"/>
        <v>3047</v>
      </c>
      <c r="S30" s="82">
        <f t="shared" si="11"/>
        <v>0.93435685665222012</v>
      </c>
      <c r="T30" s="83" t="s">
        <v>177</v>
      </c>
      <c r="U30" s="83" t="s">
        <v>152</v>
      </c>
      <c r="V30" s="83" t="s">
        <v>157</v>
      </c>
      <c r="W30" s="113">
        <f t="shared" si="2"/>
        <v>60</v>
      </c>
      <c r="AA30" s="75" t="s">
        <v>107</v>
      </c>
      <c r="AB30" s="44">
        <v>1000</v>
      </c>
    </row>
    <row r="31" spans="1:28" ht="15">
      <c r="A31" s="15">
        <f t="shared" si="8"/>
        <v>18</v>
      </c>
      <c r="B31" s="15" t="s">
        <v>214</v>
      </c>
      <c r="C31" s="16">
        <v>2021</v>
      </c>
      <c r="D31" s="75" t="s">
        <v>189</v>
      </c>
      <c r="E31" s="16" t="s">
        <v>191</v>
      </c>
      <c r="F31" s="17">
        <v>49</v>
      </c>
      <c r="G31" s="75" t="s">
        <v>108</v>
      </c>
      <c r="H31" s="75" t="s">
        <v>103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7">
        <v>22690</v>
      </c>
      <c r="K31" s="37">
        <v>22690</v>
      </c>
      <c r="L31" s="35">
        <v>0.84</v>
      </c>
      <c r="M31" s="78">
        <f t="shared" si="9"/>
        <v>27011.904761904763</v>
      </c>
      <c r="N31" s="79">
        <f t="shared" si="10"/>
        <v>0.84</v>
      </c>
      <c r="O31" s="80">
        <f t="shared" si="0"/>
        <v>0</v>
      </c>
      <c r="P31" s="19">
        <v>-2496</v>
      </c>
      <c r="Q31" s="19">
        <v>250</v>
      </c>
      <c r="R31" s="81">
        <f t="shared" si="1"/>
        <v>-2246</v>
      </c>
      <c r="S31" s="82">
        <f t="shared" si="11"/>
        <v>-0.6551744814498498</v>
      </c>
      <c r="T31" s="83" t="s">
        <v>170</v>
      </c>
      <c r="U31" s="83" t="s">
        <v>152</v>
      </c>
      <c r="V31" s="83" t="s">
        <v>157</v>
      </c>
      <c r="W31" s="113">
        <f t="shared" si="2"/>
        <v>60</v>
      </c>
      <c r="AA31" s="75" t="s">
        <v>107</v>
      </c>
      <c r="AB31" s="44">
        <v>-700</v>
      </c>
    </row>
    <row r="32" spans="1:28" ht="15">
      <c r="A32" s="15">
        <f t="shared" si="8"/>
        <v>19</v>
      </c>
      <c r="B32" s="15" t="s">
        <v>215</v>
      </c>
      <c r="C32" s="16">
        <v>2020</v>
      </c>
      <c r="D32" s="75" t="s">
        <v>216</v>
      </c>
      <c r="E32" s="16" t="s">
        <v>217</v>
      </c>
      <c r="F32" s="17">
        <v>58</v>
      </c>
      <c r="G32" s="75" t="s">
        <v>102</v>
      </c>
      <c r="H32" s="75" t="s">
        <v>103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7">
        <v>17966</v>
      </c>
      <c r="K32" s="37">
        <v>17966</v>
      </c>
      <c r="L32" s="35">
        <v>0.82</v>
      </c>
      <c r="M32" s="78">
        <f t="shared" si="9"/>
        <v>21909.756097560978</v>
      </c>
      <c r="N32" s="79">
        <f t="shared" si="10"/>
        <v>0.82</v>
      </c>
      <c r="O32" s="80">
        <f t="shared" si="0"/>
        <v>0</v>
      </c>
      <c r="P32" s="19">
        <v>-3320</v>
      </c>
      <c r="Q32" s="19">
        <v>1841</v>
      </c>
      <c r="R32" s="81">
        <f t="shared" si="1"/>
        <v>-1479</v>
      </c>
      <c r="S32" s="82">
        <f t="shared" si="11"/>
        <v>-0.43126937893451095</v>
      </c>
      <c r="T32" s="83" t="s">
        <v>168</v>
      </c>
      <c r="U32" s="83" t="s">
        <v>153</v>
      </c>
      <c r="V32" s="83" t="s">
        <v>157</v>
      </c>
      <c r="W32" s="113">
        <f t="shared" si="2"/>
        <v>60</v>
      </c>
      <c r="AA32" s="75" t="s">
        <v>103</v>
      </c>
      <c r="AB32" s="44">
        <v>0</v>
      </c>
    </row>
    <row r="33" spans="1:28" ht="15">
      <c r="A33" s="15">
        <f t="shared" si="8"/>
        <v>20</v>
      </c>
      <c r="B33" s="15" t="s">
        <v>218</v>
      </c>
      <c r="C33" s="16">
        <v>2022</v>
      </c>
      <c r="D33" s="75" t="s">
        <v>189</v>
      </c>
      <c r="E33" s="16" t="s">
        <v>194</v>
      </c>
      <c r="F33" s="17">
        <v>83</v>
      </c>
      <c r="G33" s="75" t="s">
        <v>108</v>
      </c>
      <c r="H33" s="75" t="s">
        <v>103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7">
        <v>27245</v>
      </c>
      <c r="K33" s="37">
        <v>28245</v>
      </c>
      <c r="L33" s="35">
        <v>0.8</v>
      </c>
      <c r="M33" s="78">
        <f t="shared" si="9"/>
        <v>34056.25</v>
      </c>
      <c r="N33" s="79">
        <f t="shared" si="10"/>
        <v>0.82936318590567082</v>
      </c>
      <c r="O33" s="80">
        <f t="shared" si="0"/>
        <v>-1000</v>
      </c>
      <c r="P33" s="19">
        <v>-2155</v>
      </c>
      <c r="Q33" s="19">
        <v>1337</v>
      </c>
      <c r="R33" s="81">
        <f t="shared" si="1"/>
        <v>-818</v>
      </c>
      <c r="S33" s="82">
        <f t="shared" si="11"/>
        <v>-0.11670894102726696</v>
      </c>
      <c r="T33" s="83" t="s">
        <v>185</v>
      </c>
      <c r="U33" s="83" t="s">
        <v>153</v>
      </c>
      <c r="V33" s="83" t="s">
        <v>155</v>
      </c>
      <c r="W33" s="113">
        <f t="shared" si="2"/>
        <v>90</v>
      </c>
      <c r="AA33" s="75" t="s">
        <v>103</v>
      </c>
      <c r="AB33" s="44">
        <v>0</v>
      </c>
    </row>
    <row r="34" spans="1:28" ht="15">
      <c r="A34" s="15">
        <f t="shared" si="8"/>
        <v>21</v>
      </c>
      <c r="B34" s="15" t="s">
        <v>219</v>
      </c>
      <c r="C34" s="16">
        <v>2022</v>
      </c>
      <c r="D34" s="75" t="s">
        <v>189</v>
      </c>
      <c r="E34" s="16" t="s">
        <v>220</v>
      </c>
      <c r="F34" s="17">
        <v>61</v>
      </c>
      <c r="G34" s="75" t="s">
        <v>118</v>
      </c>
      <c r="H34" s="75" t="s">
        <v>103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>
        <v>22050</v>
      </c>
      <c r="K34" s="37">
        <v>28350</v>
      </c>
      <c r="L34" s="35">
        <v>0.82</v>
      </c>
      <c r="M34" s="78">
        <f t="shared" si="9"/>
        <v>26890.243902439026</v>
      </c>
      <c r="N34" s="79">
        <f t="shared" si="10"/>
        <v>1.0542857142857143</v>
      </c>
      <c r="O34" s="80">
        <f t="shared" si="0"/>
        <v>-6300</v>
      </c>
      <c r="P34" s="19">
        <v>4809</v>
      </c>
      <c r="Q34" s="19">
        <v>4190</v>
      </c>
      <c r="R34" s="81">
        <f t="shared" si="1"/>
        <v>8999</v>
      </c>
      <c r="S34" s="82">
        <f t="shared" si="11"/>
        <v>2.2560151420507371</v>
      </c>
      <c r="T34" s="83" t="s">
        <v>177</v>
      </c>
      <c r="U34" s="83" t="s">
        <v>153</v>
      </c>
      <c r="V34" s="83" t="s">
        <v>155</v>
      </c>
      <c r="W34" s="113">
        <f t="shared" si="2"/>
        <v>90</v>
      </c>
      <c r="AA34" s="75" t="s">
        <v>103</v>
      </c>
      <c r="AB34" s="44">
        <v>0</v>
      </c>
    </row>
    <row r="35" spans="1:28" ht="15">
      <c r="A35" s="15">
        <f t="shared" si="8"/>
        <v>22</v>
      </c>
      <c r="B35" s="15" t="s">
        <v>221</v>
      </c>
      <c r="C35" s="16">
        <v>2019</v>
      </c>
      <c r="D35" s="75" t="s">
        <v>6</v>
      </c>
      <c r="E35" s="16" t="s">
        <v>222</v>
      </c>
      <c r="F35" s="17">
        <v>34</v>
      </c>
      <c r="G35" s="75" t="s">
        <v>102</v>
      </c>
      <c r="H35" s="75" t="s">
        <v>103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7">
        <v>22788</v>
      </c>
      <c r="K35" s="37">
        <v>22450</v>
      </c>
      <c r="L35" s="35">
        <v>0.87</v>
      </c>
      <c r="M35" s="78">
        <f t="shared" si="9"/>
        <v>26193.103448275862</v>
      </c>
      <c r="N35" s="79">
        <f t="shared" si="10"/>
        <v>0.85709583991574512</v>
      </c>
      <c r="O35" s="80">
        <f t="shared" si="0"/>
        <v>338</v>
      </c>
      <c r="P35" s="19">
        <v>1594</v>
      </c>
      <c r="Q35" s="19">
        <v>4140</v>
      </c>
      <c r="R35" s="81">
        <f t="shared" si="1"/>
        <v>5734</v>
      </c>
      <c r="S35" s="82">
        <f t="shared" si="11"/>
        <v>2.9110539497732351</v>
      </c>
      <c r="T35" s="83" t="s">
        <v>176</v>
      </c>
      <c r="U35" s="83" t="s">
        <v>152</v>
      </c>
      <c r="V35" s="83" t="s">
        <v>157</v>
      </c>
      <c r="W35" s="113">
        <f t="shared" si="2"/>
        <v>45</v>
      </c>
      <c r="AA35" s="75" t="s">
        <v>107</v>
      </c>
      <c r="AB35" s="44">
        <v>1500</v>
      </c>
    </row>
    <row r="36" spans="1:28" ht="15">
      <c r="A36" s="15">
        <f t="shared" si="8"/>
        <v>23</v>
      </c>
      <c r="B36" s="15" t="s">
        <v>223</v>
      </c>
      <c r="C36" s="16">
        <v>2020</v>
      </c>
      <c r="D36" s="75" t="s">
        <v>189</v>
      </c>
      <c r="E36" s="16" t="s">
        <v>191</v>
      </c>
      <c r="F36" s="17">
        <v>60</v>
      </c>
      <c r="G36" s="75" t="s">
        <v>111</v>
      </c>
      <c r="H36" s="75" t="s">
        <v>103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37">
        <v>25049</v>
      </c>
      <c r="K36" s="37">
        <v>25049</v>
      </c>
      <c r="L36" s="35">
        <v>0.82</v>
      </c>
      <c r="M36" s="78">
        <f t="shared" si="9"/>
        <v>30547.560975609758</v>
      </c>
      <c r="N36" s="79">
        <f t="shared" si="10"/>
        <v>0.82</v>
      </c>
      <c r="O36" s="80">
        <f t="shared" si="0"/>
        <v>0</v>
      </c>
      <c r="P36" s="19">
        <v>-3297</v>
      </c>
      <c r="Q36" s="19">
        <v>2799</v>
      </c>
      <c r="R36" s="81">
        <f t="shared" si="1"/>
        <v>-498</v>
      </c>
      <c r="S36" s="82">
        <f t="shared" si="11"/>
        <v>-0.10541169829958372</v>
      </c>
      <c r="T36" s="83" t="s">
        <v>177</v>
      </c>
      <c r="U36" s="83" t="s">
        <v>152</v>
      </c>
      <c r="V36" s="83" t="s">
        <v>157</v>
      </c>
      <c r="W36" s="113">
        <f t="shared" si="2"/>
        <v>60</v>
      </c>
      <c r="AA36" s="75" t="s">
        <v>107</v>
      </c>
      <c r="AB36" s="44">
        <v>1000</v>
      </c>
    </row>
    <row r="37" spans="1:28" ht="15">
      <c r="A37" s="15">
        <f t="shared" si="8"/>
        <v>24</v>
      </c>
      <c r="B37" s="15" t="s">
        <v>224</v>
      </c>
      <c r="C37" s="16">
        <v>2020</v>
      </c>
      <c r="D37" s="75" t="s">
        <v>189</v>
      </c>
      <c r="E37" s="16" t="s">
        <v>194</v>
      </c>
      <c r="F37" s="17">
        <v>1</v>
      </c>
      <c r="G37" s="75" t="s">
        <v>116</v>
      </c>
      <c r="H37" s="75" t="s">
        <v>103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37">
        <v>15068</v>
      </c>
      <c r="K37" s="37">
        <v>15068</v>
      </c>
      <c r="L37" s="35">
        <v>1.06</v>
      </c>
      <c r="M37" s="78">
        <f t="shared" si="9"/>
        <v>14215.094339622641</v>
      </c>
      <c r="N37" s="79">
        <f t="shared" si="10"/>
        <v>1.06</v>
      </c>
      <c r="O37" s="80">
        <f t="shared" si="0"/>
        <v>0</v>
      </c>
      <c r="P37" s="19">
        <v>491</v>
      </c>
      <c r="Q37" s="19">
        <v>157</v>
      </c>
      <c r="R37" s="81">
        <f t="shared" si="1"/>
        <v>648</v>
      </c>
      <c r="S37" s="82">
        <f t="shared" si="11"/>
        <v>16.003292858612884</v>
      </c>
      <c r="T37" s="83" t="s">
        <v>174</v>
      </c>
      <c r="U37" s="83" t="s">
        <v>152</v>
      </c>
      <c r="V37" s="83" t="s">
        <v>157</v>
      </c>
      <c r="W37" s="113">
        <f t="shared" si="2"/>
        <v>30</v>
      </c>
      <c r="AA37" s="75" t="s">
        <v>103</v>
      </c>
      <c r="AB37" s="44">
        <v>0</v>
      </c>
    </row>
    <row r="38" spans="1:28" ht="15">
      <c r="A38" s="15">
        <f t="shared" si="8"/>
        <v>25</v>
      </c>
      <c r="B38" s="15" t="s">
        <v>225</v>
      </c>
      <c r="C38" s="16">
        <v>2019</v>
      </c>
      <c r="D38" s="75" t="s">
        <v>189</v>
      </c>
      <c r="E38" s="16" t="s">
        <v>226</v>
      </c>
      <c r="F38" s="17">
        <v>57</v>
      </c>
      <c r="G38" s="75" t="s">
        <v>119</v>
      </c>
      <c r="H38" s="75" t="s">
        <v>103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7">
        <v>24308</v>
      </c>
      <c r="K38" s="37">
        <v>24308</v>
      </c>
      <c r="L38" s="35">
        <v>0.82</v>
      </c>
      <c r="M38" s="78">
        <f t="shared" si="9"/>
        <v>29643.90243902439</v>
      </c>
      <c r="N38" s="79">
        <f t="shared" si="10"/>
        <v>0.82</v>
      </c>
      <c r="O38" s="80">
        <f t="shared" si="0"/>
        <v>0</v>
      </c>
      <c r="P38" s="19">
        <v>-388</v>
      </c>
      <c r="Q38" s="19">
        <v>3309</v>
      </c>
      <c r="R38" s="81">
        <f t="shared" si="1"/>
        <v>2921</v>
      </c>
      <c r="S38" s="82">
        <f t="shared" si="11"/>
        <v>0.74702061275638076</v>
      </c>
      <c r="T38" s="83" t="s">
        <v>179</v>
      </c>
      <c r="U38" s="83" t="s">
        <v>152</v>
      </c>
      <c r="V38" s="83" t="s">
        <v>157</v>
      </c>
      <c r="W38" s="113">
        <f t="shared" si="2"/>
        <v>60</v>
      </c>
      <c r="AA38" s="75" t="s">
        <v>103</v>
      </c>
      <c r="AB38" s="44">
        <v>0</v>
      </c>
    </row>
    <row r="39" spans="1:28" ht="15">
      <c r="A39" s="15">
        <f t="shared" si="8"/>
        <v>26</v>
      </c>
      <c r="B39" s="15" t="s">
        <v>227</v>
      </c>
      <c r="C39" s="16">
        <v>2021</v>
      </c>
      <c r="D39" s="75" t="s">
        <v>158</v>
      </c>
      <c r="E39" s="16" t="s">
        <v>228</v>
      </c>
      <c r="F39" s="17">
        <v>106</v>
      </c>
      <c r="G39" s="75" t="s">
        <v>108</v>
      </c>
      <c r="H39" s="75" t="s">
        <v>103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Yes</v>
      </c>
      <c r="J39" s="37">
        <v>37550</v>
      </c>
      <c r="K39" s="37">
        <v>37550</v>
      </c>
      <c r="L39" s="35">
        <v>0.8</v>
      </c>
      <c r="M39" s="78">
        <f t="shared" si="9"/>
        <v>46937.5</v>
      </c>
      <c r="N39" s="79">
        <f t="shared" si="10"/>
        <v>0.8</v>
      </c>
      <c r="O39" s="80">
        <f t="shared" si="0"/>
        <v>0</v>
      </c>
      <c r="P39" s="19">
        <v>-847</v>
      </c>
      <c r="Q39" s="19">
        <v>4840</v>
      </c>
      <c r="R39" s="81">
        <f t="shared" si="1"/>
        <v>3993</v>
      </c>
      <c r="S39" s="82">
        <f t="shared" si="11"/>
        <v>0.35318207348156627</v>
      </c>
      <c r="T39" s="83" t="s">
        <v>181</v>
      </c>
      <c r="U39" s="83" t="s">
        <v>152</v>
      </c>
      <c r="V39" s="83" t="s">
        <v>156</v>
      </c>
      <c r="W39" s="113">
        <f t="shared" si="2"/>
        <v>91</v>
      </c>
      <c r="AA39" s="75" t="s">
        <v>103</v>
      </c>
      <c r="AB39" s="44">
        <v>0</v>
      </c>
    </row>
    <row r="40" spans="1:28" ht="15">
      <c r="A40" s="15">
        <f t="shared" si="8"/>
        <v>27</v>
      </c>
      <c r="B40" s="15" t="s">
        <v>229</v>
      </c>
      <c r="C40" s="16">
        <v>2022</v>
      </c>
      <c r="D40" s="75" t="s">
        <v>190</v>
      </c>
      <c r="E40" s="16" t="s">
        <v>192</v>
      </c>
      <c r="F40" s="17">
        <v>41</v>
      </c>
      <c r="G40" s="75" t="s">
        <v>108</v>
      </c>
      <c r="H40" s="75" t="s">
        <v>103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7">
        <v>22138</v>
      </c>
      <c r="K40" s="37">
        <v>22138</v>
      </c>
      <c r="L40" s="35">
        <v>0.85</v>
      </c>
      <c r="M40" s="78">
        <f t="shared" si="9"/>
        <v>26044.705882352941</v>
      </c>
      <c r="N40" s="79">
        <f t="shared" si="10"/>
        <v>0.85</v>
      </c>
      <c r="O40" s="80">
        <f t="shared" si="0"/>
        <v>0</v>
      </c>
      <c r="P40" s="19">
        <v>-1937</v>
      </c>
      <c r="Q40" s="19">
        <v>0</v>
      </c>
      <c r="R40" s="81">
        <f t="shared" si="1"/>
        <v>-1937</v>
      </c>
      <c r="S40" s="82">
        <f t="shared" si="11"/>
        <v>-0.70645087759288816</v>
      </c>
      <c r="T40" s="83" t="s">
        <v>168</v>
      </c>
      <c r="U40" s="83" t="s">
        <v>152</v>
      </c>
      <c r="V40" s="83" t="s">
        <v>156</v>
      </c>
      <c r="W40" s="113">
        <f t="shared" si="2"/>
        <v>45</v>
      </c>
      <c r="AA40" s="75" t="s">
        <v>230</v>
      </c>
      <c r="AB40" s="44">
        <v>0</v>
      </c>
    </row>
    <row r="41" spans="1:28" ht="15">
      <c r="A41" s="15">
        <f t="shared" si="8"/>
        <v>28</v>
      </c>
      <c r="B41" s="15" t="s">
        <v>231</v>
      </c>
      <c r="C41" s="16">
        <v>2019</v>
      </c>
      <c r="D41" s="75" t="s">
        <v>189</v>
      </c>
      <c r="E41" s="16" t="s">
        <v>206</v>
      </c>
      <c r="F41" s="17">
        <v>35</v>
      </c>
      <c r="G41" s="75" t="s">
        <v>108</v>
      </c>
      <c r="H41" s="75" t="s">
        <v>103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>
        <v>18758</v>
      </c>
      <c r="K41" s="37">
        <v>18758</v>
      </c>
      <c r="L41" s="35">
        <v>0.87</v>
      </c>
      <c r="M41" s="78">
        <f t="shared" si="9"/>
        <v>21560.919540229886</v>
      </c>
      <c r="N41" s="79">
        <f t="shared" si="10"/>
        <v>0.87</v>
      </c>
      <c r="O41" s="80">
        <f t="shared" si="0"/>
        <v>0</v>
      </c>
      <c r="P41" s="19">
        <v>-484</v>
      </c>
      <c r="Q41" s="19">
        <v>1022</v>
      </c>
      <c r="R41" s="81">
        <f t="shared" si="1"/>
        <v>538</v>
      </c>
      <c r="S41" s="82">
        <f t="shared" si="11"/>
        <v>0.28758519310436992</v>
      </c>
      <c r="T41" s="83" t="s">
        <v>170</v>
      </c>
      <c r="U41" s="83" t="s">
        <v>153</v>
      </c>
      <c r="V41" s="83" t="s">
        <v>155</v>
      </c>
      <c r="W41" s="113">
        <f t="shared" si="2"/>
        <v>45</v>
      </c>
      <c r="AA41" s="75" t="s">
        <v>103</v>
      </c>
      <c r="AB41" s="44">
        <v>0</v>
      </c>
    </row>
    <row r="42" spans="1:28" ht="15">
      <c r="A42" s="15">
        <f t="shared" si="8"/>
        <v>29</v>
      </c>
      <c r="B42" s="15" t="s">
        <v>232</v>
      </c>
      <c r="C42" s="16">
        <v>2021</v>
      </c>
      <c r="D42" s="75" t="s">
        <v>189</v>
      </c>
      <c r="E42" s="16" t="s">
        <v>191</v>
      </c>
      <c r="F42" s="17">
        <v>12</v>
      </c>
      <c r="G42" s="75" t="s">
        <v>108</v>
      </c>
      <c r="H42" s="75" t="s">
        <v>103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7">
        <v>25704</v>
      </c>
      <c r="K42" s="37">
        <v>25704</v>
      </c>
      <c r="L42" s="35">
        <v>1.02</v>
      </c>
      <c r="M42" s="78">
        <f t="shared" si="9"/>
        <v>25200</v>
      </c>
      <c r="N42" s="79">
        <f t="shared" si="10"/>
        <v>1.02</v>
      </c>
      <c r="O42" s="80">
        <f t="shared" si="0"/>
        <v>0</v>
      </c>
      <c r="P42" s="19">
        <v>87</v>
      </c>
      <c r="Q42" s="19">
        <v>1504</v>
      </c>
      <c r="R42" s="81">
        <f t="shared" si="1"/>
        <v>1591</v>
      </c>
      <c r="S42" s="82">
        <f t="shared" si="11"/>
        <v>1.8632158332357418</v>
      </c>
      <c r="T42" s="83" t="s">
        <v>163</v>
      </c>
      <c r="U42" s="83" t="s">
        <v>152</v>
      </c>
      <c r="V42" s="83" t="s">
        <v>156</v>
      </c>
      <c r="W42" s="113">
        <f t="shared" si="2"/>
        <v>30</v>
      </c>
      <c r="AA42" s="75" t="s">
        <v>103</v>
      </c>
      <c r="AB42" s="44">
        <v>0</v>
      </c>
    </row>
    <row r="43" spans="1:28" ht="15">
      <c r="A43" s="15">
        <f t="shared" si="8"/>
        <v>30</v>
      </c>
      <c r="B43" s="15" t="s">
        <v>233</v>
      </c>
      <c r="C43" s="16">
        <v>2018</v>
      </c>
      <c r="D43" s="75" t="s">
        <v>190</v>
      </c>
      <c r="E43" s="16" t="s">
        <v>234</v>
      </c>
      <c r="F43" s="17">
        <v>10</v>
      </c>
      <c r="G43" s="75" t="s">
        <v>102</v>
      </c>
      <c r="H43" s="75" t="s">
        <v>103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37">
        <v>21688</v>
      </c>
      <c r="K43" s="37">
        <v>22370</v>
      </c>
      <c r="L43" s="35">
        <v>1.02</v>
      </c>
      <c r="M43" s="78">
        <f t="shared" si="9"/>
        <v>21262.745098039217</v>
      </c>
      <c r="N43" s="79">
        <f t="shared" si="10"/>
        <v>1.0520748801180375</v>
      </c>
      <c r="O43" s="80">
        <f t="shared" si="0"/>
        <v>-682</v>
      </c>
      <c r="P43" s="19">
        <v>5650</v>
      </c>
      <c r="Q43" s="19">
        <v>1643</v>
      </c>
      <c r="R43" s="81">
        <f t="shared" si="1"/>
        <v>7293</v>
      </c>
      <c r="S43" s="82">
        <f t="shared" si="11"/>
        <v>15.702631578947368</v>
      </c>
      <c r="T43" s="83" t="s">
        <v>183</v>
      </c>
      <c r="U43" s="83" t="s">
        <v>153</v>
      </c>
      <c r="V43" s="83" t="s">
        <v>157</v>
      </c>
      <c r="W43" s="113">
        <f t="shared" si="2"/>
        <v>30</v>
      </c>
      <c r="AA43" s="75" t="s">
        <v>103</v>
      </c>
      <c r="AB43" s="44">
        <v>0</v>
      </c>
    </row>
    <row r="44" spans="1:28" ht="15">
      <c r="A44" s="15">
        <f t="shared" si="8"/>
        <v>31</v>
      </c>
      <c r="B44" s="15" t="s">
        <v>235</v>
      </c>
      <c r="C44" s="16">
        <v>2022</v>
      </c>
      <c r="D44" s="75" t="s">
        <v>190</v>
      </c>
      <c r="E44" s="16" t="s">
        <v>238</v>
      </c>
      <c r="F44" s="17">
        <v>18</v>
      </c>
      <c r="G44" s="75" t="s">
        <v>108</v>
      </c>
      <c r="H44" s="75" t="s">
        <v>103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37">
        <v>24103</v>
      </c>
      <c r="K44" s="37">
        <v>23582</v>
      </c>
      <c r="L44" s="35">
        <v>0.97</v>
      </c>
      <c r="M44" s="78">
        <f t="shared" si="9"/>
        <v>24848.453608247422</v>
      </c>
      <c r="N44" s="79">
        <f t="shared" si="10"/>
        <v>0.94903290046882127</v>
      </c>
      <c r="O44" s="80">
        <f t="shared" si="0"/>
        <v>521</v>
      </c>
      <c r="P44" s="19">
        <v>238</v>
      </c>
      <c r="Q44" s="19">
        <v>0</v>
      </c>
      <c r="R44" s="81">
        <f t="shared" si="1"/>
        <v>238</v>
      </c>
      <c r="S44" s="82">
        <f t="shared" si="11"/>
        <v>0.20390678546949967</v>
      </c>
      <c r="T44" s="83" t="s">
        <v>184</v>
      </c>
      <c r="U44" s="83" t="s">
        <v>153</v>
      </c>
      <c r="V44" s="83" t="s">
        <v>155</v>
      </c>
      <c r="W44" s="113">
        <f t="shared" si="2"/>
        <v>30</v>
      </c>
      <c r="AA44" s="75" t="s">
        <v>103</v>
      </c>
      <c r="AB44" s="44">
        <v>0</v>
      </c>
    </row>
    <row r="45" spans="1:28" ht="15">
      <c r="A45" s="15">
        <f t="shared" si="8"/>
        <v>32</v>
      </c>
      <c r="B45" s="15" t="s">
        <v>236</v>
      </c>
      <c r="C45" s="16">
        <v>2021</v>
      </c>
      <c r="D45" s="75" t="s">
        <v>190</v>
      </c>
      <c r="E45" s="16" t="s">
        <v>237</v>
      </c>
      <c r="F45" s="17">
        <v>46</v>
      </c>
      <c r="G45" s="75" t="s">
        <v>108</v>
      </c>
      <c r="H45" s="75" t="s">
        <v>103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No</v>
      </c>
      <c r="J45" s="37">
        <v>36232</v>
      </c>
      <c r="K45" s="37">
        <v>36232</v>
      </c>
      <c r="L45" s="35">
        <v>0.85</v>
      </c>
      <c r="M45" s="78">
        <f t="shared" si="9"/>
        <v>42625.882352941175</v>
      </c>
      <c r="N45" s="79">
        <f t="shared" si="10"/>
        <v>0.85000000000000009</v>
      </c>
      <c r="O45" s="80">
        <f t="shared" si="0"/>
        <v>0</v>
      </c>
      <c r="P45" s="19">
        <v>650</v>
      </c>
      <c r="Q45" s="19">
        <v>2776</v>
      </c>
      <c r="R45" s="81">
        <f t="shared" si="1"/>
        <v>3426</v>
      </c>
      <c r="S45" s="82">
        <f t="shared" si="11"/>
        <v>0.75353195191511102</v>
      </c>
      <c r="T45" s="83" t="s">
        <v>182</v>
      </c>
      <c r="U45" s="83" t="s">
        <v>152</v>
      </c>
      <c r="V45" s="83" t="s">
        <v>155</v>
      </c>
      <c r="W45" s="113">
        <f t="shared" ref="W45:W76" si="12">IF(AND(F45&gt;0,F45&lt;=30),30,IF(AND(F45&gt;=31,F45&lt;=45),45,IF(AND(F45&gt;=46,F45&lt;=60),60,IF(AND(F45&gt;=61,F45&lt;=90),90,IF(F45&gt;=91,91,0)))))</f>
        <v>60</v>
      </c>
      <c r="AA45" s="75" t="s">
        <v>103</v>
      </c>
      <c r="AB45" s="44">
        <v>0</v>
      </c>
    </row>
    <row r="46" spans="1:28" ht="15">
      <c r="A46" s="15">
        <f t="shared" si="8"/>
        <v>33</v>
      </c>
      <c r="B46" s="15" t="s">
        <v>239</v>
      </c>
      <c r="C46" s="16">
        <v>2021</v>
      </c>
      <c r="D46" s="75" t="s">
        <v>6</v>
      </c>
      <c r="E46" s="16" t="s">
        <v>240</v>
      </c>
      <c r="F46" s="17">
        <v>77</v>
      </c>
      <c r="G46" s="75" t="s">
        <v>108</v>
      </c>
      <c r="H46" s="75" t="s">
        <v>103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>
        <v>21963</v>
      </c>
      <c r="K46" s="37">
        <v>21963</v>
      </c>
      <c r="L46" s="35">
        <v>0.8</v>
      </c>
      <c r="M46" s="78">
        <f t="shared" si="9"/>
        <v>27453.75</v>
      </c>
      <c r="N46" s="79">
        <f t="shared" si="10"/>
        <v>0.8</v>
      </c>
      <c r="O46" s="80">
        <f t="shared" si="0"/>
        <v>0</v>
      </c>
      <c r="P46" s="19">
        <v>-2885</v>
      </c>
      <c r="Q46" s="19">
        <v>2270</v>
      </c>
      <c r="R46" s="81">
        <f t="shared" si="1"/>
        <v>-615</v>
      </c>
      <c r="S46" s="82">
        <f t="shared" si="11"/>
        <v>-0.11571654359806323</v>
      </c>
      <c r="T46" s="83" t="s">
        <v>179</v>
      </c>
      <c r="U46" s="83" t="s">
        <v>152</v>
      </c>
      <c r="V46" s="83" t="s">
        <v>155</v>
      </c>
      <c r="W46" s="113">
        <f t="shared" si="12"/>
        <v>90</v>
      </c>
      <c r="AA46" s="75" t="s">
        <v>103</v>
      </c>
      <c r="AB46" s="44">
        <v>0</v>
      </c>
    </row>
    <row r="47" spans="1:28" ht="15">
      <c r="A47" s="15">
        <f t="shared" si="8"/>
        <v>34</v>
      </c>
      <c r="B47" s="15" t="s">
        <v>241</v>
      </c>
      <c r="C47" s="16">
        <v>2020</v>
      </c>
      <c r="D47" s="75" t="s">
        <v>189</v>
      </c>
      <c r="E47" s="16" t="s">
        <v>194</v>
      </c>
      <c r="F47" s="17">
        <v>49</v>
      </c>
      <c r="G47" s="75" t="s">
        <v>102</v>
      </c>
      <c r="H47" s="75" t="s">
        <v>103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7">
        <v>24077</v>
      </c>
      <c r="K47" s="37">
        <v>24077</v>
      </c>
      <c r="L47" s="35">
        <v>0.84</v>
      </c>
      <c r="M47" s="78">
        <f t="shared" si="9"/>
        <v>28663.09523809524</v>
      </c>
      <c r="N47" s="79">
        <f t="shared" si="10"/>
        <v>0.84</v>
      </c>
      <c r="O47" s="80">
        <f t="shared" si="0"/>
        <v>0</v>
      </c>
      <c r="P47" s="19">
        <v>2930</v>
      </c>
      <c r="Q47" s="19">
        <v>2516</v>
      </c>
      <c r="R47" s="81">
        <f t="shared" si="1"/>
        <v>5446</v>
      </c>
      <c r="S47" s="82">
        <f t="shared" si="11"/>
        <v>1.892061690614677</v>
      </c>
      <c r="T47" s="83" t="s">
        <v>184</v>
      </c>
      <c r="U47" s="83" t="s">
        <v>152</v>
      </c>
      <c r="V47" s="83" t="s">
        <v>157</v>
      </c>
      <c r="W47" s="113">
        <f t="shared" si="12"/>
        <v>60</v>
      </c>
      <c r="AA47" s="75" t="s">
        <v>107</v>
      </c>
      <c r="AB47" s="44">
        <v>2800</v>
      </c>
    </row>
    <row r="48" spans="1:28" ht="15">
      <c r="A48" s="15">
        <f t="shared" si="8"/>
        <v>35</v>
      </c>
      <c r="B48" s="15" t="s">
        <v>242</v>
      </c>
      <c r="C48" s="16">
        <v>2020</v>
      </c>
      <c r="D48" s="75" t="s">
        <v>189</v>
      </c>
      <c r="E48" s="16" t="s">
        <v>194</v>
      </c>
      <c r="F48" s="17">
        <v>1</v>
      </c>
      <c r="G48" s="75" t="s">
        <v>116</v>
      </c>
      <c r="H48" s="75" t="s">
        <v>103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7">
        <v>17480</v>
      </c>
      <c r="K48" s="37">
        <v>17480</v>
      </c>
      <c r="L48" s="35">
        <v>1.06</v>
      </c>
      <c r="M48" s="78">
        <f t="shared" si="9"/>
        <v>16490.566037735847</v>
      </c>
      <c r="N48" s="79">
        <f t="shared" si="10"/>
        <v>1.06</v>
      </c>
      <c r="O48" s="80">
        <f t="shared" si="0"/>
        <v>0</v>
      </c>
      <c r="P48" s="19">
        <v>2656</v>
      </c>
      <c r="Q48" s="19">
        <v>3391</v>
      </c>
      <c r="R48" s="81">
        <f t="shared" si="1"/>
        <v>6047</v>
      </c>
      <c r="S48" s="82">
        <f t="shared" si="11"/>
        <v>146.85105234754451</v>
      </c>
      <c r="T48" s="83" t="s">
        <v>174</v>
      </c>
      <c r="U48" s="83" t="s">
        <v>152</v>
      </c>
      <c r="V48" s="83" t="s">
        <v>155</v>
      </c>
      <c r="W48" s="113">
        <f t="shared" si="12"/>
        <v>30</v>
      </c>
      <c r="AA48" s="75" t="s">
        <v>103</v>
      </c>
      <c r="AB48" s="44">
        <v>0</v>
      </c>
    </row>
    <row r="49" spans="1:28" ht="15">
      <c r="A49" s="15">
        <f t="shared" si="8"/>
        <v>36</v>
      </c>
      <c r="B49" s="15" t="s">
        <v>243</v>
      </c>
      <c r="C49" s="16">
        <v>2021</v>
      </c>
      <c r="D49" s="75" t="s">
        <v>189</v>
      </c>
      <c r="E49" s="16" t="s">
        <v>244</v>
      </c>
      <c r="F49" s="17">
        <v>58</v>
      </c>
      <c r="G49" s="75" t="s">
        <v>102</v>
      </c>
      <c r="H49" s="75" t="s">
        <v>103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Yes</v>
      </c>
      <c r="J49" s="37">
        <v>22574</v>
      </c>
      <c r="K49" s="37">
        <v>22574</v>
      </c>
      <c r="L49" s="35">
        <v>0.82</v>
      </c>
      <c r="M49" s="78">
        <f t="shared" si="9"/>
        <v>27529.268292682929</v>
      </c>
      <c r="N49" s="79">
        <f t="shared" si="10"/>
        <v>0.82</v>
      </c>
      <c r="O49" s="80">
        <f t="shared" si="0"/>
        <v>0</v>
      </c>
      <c r="P49" s="19">
        <v>-995</v>
      </c>
      <c r="Q49" s="19">
        <v>4352</v>
      </c>
      <c r="R49" s="81">
        <f t="shared" si="1"/>
        <v>3357</v>
      </c>
      <c r="S49" s="82">
        <f t="shared" si="11"/>
        <v>0.88406600721871653</v>
      </c>
      <c r="T49" s="83" t="s">
        <v>159</v>
      </c>
      <c r="U49" s="83" t="s">
        <v>152</v>
      </c>
      <c r="V49" s="83" t="s">
        <v>157</v>
      </c>
      <c r="W49" s="113">
        <f t="shared" si="12"/>
        <v>60</v>
      </c>
      <c r="AA49" s="75" t="s">
        <v>103</v>
      </c>
      <c r="AB49" s="44">
        <v>0</v>
      </c>
    </row>
    <row r="50" spans="1:28" ht="15">
      <c r="A50" s="15">
        <f t="shared" si="8"/>
        <v>37</v>
      </c>
      <c r="B50" s="15" t="s">
        <v>245</v>
      </c>
      <c r="C50" s="16">
        <v>2020</v>
      </c>
      <c r="D50" s="75" t="s">
        <v>189</v>
      </c>
      <c r="E50" s="16" t="s">
        <v>198</v>
      </c>
      <c r="F50" s="17">
        <v>34</v>
      </c>
      <c r="G50" s="75" t="s">
        <v>108</v>
      </c>
      <c r="H50" s="75" t="s">
        <v>103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37">
        <v>26245</v>
      </c>
      <c r="K50" s="37">
        <v>29244</v>
      </c>
      <c r="L50" s="35">
        <v>0.87</v>
      </c>
      <c r="M50" s="78">
        <f t="shared" si="9"/>
        <v>30166.666666666668</v>
      </c>
      <c r="N50" s="79">
        <f t="shared" si="10"/>
        <v>0.96941436464088393</v>
      </c>
      <c r="O50" s="80">
        <f t="shared" si="0"/>
        <v>-2999</v>
      </c>
      <c r="P50" s="19">
        <v>2489</v>
      </c>
      <c r="Q50" s="19">
        <v>3844</v>
      </c>
      <c r="R50" s="81">
        <f t="shared" si="1"/>
        <v>6333</v>
      </c>
      <c r="S50" s="82">
        <f t="shared" si="11"/>
        <v>2.5062715050512825</v>
      </c>
      <c r="T50" s="83" t="s">
        <v>164</v>
      </c>
      <c r="U50" s="83" t="s">
        <v>152</v>
      </c>
      <c r="V50" s="83" t="s">
        <v>157</v>
      </c>
      <c r="W50" s="113">
        <f t="shared" si="12"/>
        <v>45</v>
      </c>
      <c r="AA50" s="75" t="s">
        <v>103</v>
      </c>
      <c r="AB50" s="44">
        <v>0</v>
      </c>
    </row>
    <row r="51" spans="1:28" ht="15">
      <c r="A51" s="15">
        <f t="shared" si="8"/>
        <v>38</v>
      </c>
      <c r="B51" s="15" t="s">
        <v>246</v>
      </c>
      <c r="C51" s="16">
        <v>2021</v>
      </c>
      <c r="D51" s="75" t="s">
        <v>189</v>
      </c>
      <c r="E51" s="16" t="s">
        <v>194</v>
      </c>
      <c r="F51" s="17">
        <v>23</v>
      </c>
      <c r="G51" s="75" t="s">
        <v>118</v>
      </c>
      <c r="H51" s="75" t="s">
        <v>103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Yes</v>
      </c>
      <c r="J51" s="37">
        <v>23611</v>
      </c>
      <c r="K51" s="37">
        <v>25494</v>
      </c>
      <c r="L51" s="35">
        <v>0.91</v>
      </c>
      <c r="M51" s="78">
        <f t="shared" si="9"/>
        <v>25946.153846153844</v>
      </c>
      <c r="N51" s="79">
        <f t="shared" si="10"/>
        <v>0.98257337681589096</v>
      </c>
      <c r="O51" s="80">
        <f t="shared" si="0"/>
        <v>-1883</v>
      </c>
      <c r="P51" s="19">
        <v>4838</v>
      </c>
      <c r="Q51" s="19">
        <v>420</v>
      </c>
      <c r="R51" s="81">
        <f t="shared" si="1"/>
        <v>5258</v>
      </c>
      <c r="S51" s="82">
        <f t="shared" si="11"/>
        <v>3.984272387431381</v>
      </c>
      <c r="T51" s="83" t="s">
        <v>177</v>
      </c>
      <c r="U51" s="83" t="s">
        <v>152</v>
      </c>
      <c r="V51" s="83" t="s">
        <v>155</v>
      </c>
      <c r="W51" s="113">
        <f t="shared" si="12"/>
        <v>30</v>
      </c>
      <c r="AA51" s="75" t="s">
        <v>103</v>
      </c>
      <c r="AB51" s="44">
        <v>0</v>
      </c>
    </row>
    <row r="52" spans="1:28" ht="15">
      <c r="A52" s="15">
        <f t="shared" si="8"/>
        <v>39</v>
      </c>
      <c r="B52" s="15" t="s">
        <v>247</v>
      </c>
      <c r="C52" s="16">
        <v>2020</v>
      </c>
      <c r="D52" s="75" t="s">
        <v>189</v>
      </c>
      <c r="E52" s="16" t="s">
        <v>200</v>
      </c>
      <c r="F52" s="17">
        <v>41</v>
      </c>
      <c r="G52" s="75" t="s">
        <v>118</v>
      </c>
      <c r="H52" s="75" t="s">
        <v>103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Yes</v>
      </c>
      <c r="J52" s="37">
        <v>16922</v>
      </c>
      <c r="K52" s="37">
        <v>19353</v>
      </c>
      <c r="L52" s="35">
        <v>0.85</v>
      </c>
      <c r="M52" s="78">
        <f t="shared" si="9"/>
        <v>19908.235294117647</v>
      </c>
      <c r="N52" s="79">
        <f t="shared" si="10"/>
        <v>0.97211027065358702</v>
      </c>
      <c r="O52" s="80">
        <f t="shared" si="0"/>
        <v>-2431</v>
      </c>
      <c r="P52" s="19">
        <v>1740</v>
      </c>
      <c r="Q52" s="19">
        <v>3067</v>
      </c>
      <c r="R52" s="81">
        <f t="shared" si="1"/>
        <v>4807</v>
      </c>
      <c r="S52" s="82">
        <f t="shared" si="11"/>
        <v>2.3964006630357568</v>
      </c>
      <c r="T52" s="83" t="s">
        <v>173</v>
      </c>
      <c r="U52" s="83" t="s">
        <v>152</v>
      </c>
      <c r="V52" s="83" t="s">
        <v>155</v>
      </c>
      <c r="W52" s="113">
        <f t="shared" si="12"/>
        <v>45</v>
      </c>
      <c r="AA52" s="75" t="s">
        <v>103</v>
      </c>
      <c r="AB52" s="44">
        <v>0</v>
      </c>
    </row>
    <row r="53" spans="1:28" ht="15">
      <c r="A53" s="15">
        <v>40</v>
      </c>
      <c r="B53" s="15" t="s">
        <v>248</v>
      </c>
      <c r="C53" s="16">
        <v>2021</v>
      </c>
      <c r="D53" s="75" t="s">
        <v>189</v>
      </c>
      <c r="E53" s="16" t="s">
        <v>208</v>
      </c>
      <c r="F53" s="17">
        <v>63</v>
      </c>
      <c r="G53" s="75" t="s">
        <v>118</v>
      </c>
      <c r="H53" s="75" t="s">
        <v>103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>
        <v>24550</v>
      </c>
      <c r="K53" s="37">
        <v>24526</v>
      </c>
      <c r="L53" s="35">
        <v>0.82</v>
      </c>
      <c r="M53" s="78">
        <f t="shared" si="9"/>
        <v>29939.024390243903</v>
      </c>
      <c r="N53" s="79">
        <f t="shared" si="10"/>
        <v>0.81919837067209778</v>
      </c>
      <c r="O53" s="80">
        <f t="shared" si="0"/>
        <v>24</v>
      </c>
      <c r="P53" s="19">
        <v>-1839</v>
      </c>
      <c r="Q53" s="19">
        <v>230</v>
      </c>
      <c r="R53" s="81">
        <f t="shared" si="1"/>
        <v>-1609</v>
      </c>
      <c r="S53" s="82">
        <f t="shared" si="11"/>
        <v>-0.34873073067649213</v>
      </c>
      <c r="T53" s="83" t="s">
        <v>165</v>
      </c>
      <c r="U53" s="83" t="s">
        <v>153</v>
      </c>
      <c r="V53" s="83" t="s">
        <v>156</v>
      </c>
      <c r="W53" s="113">
        <f t="shared" si="12"/>
        <v>90</v>
      </c>
      <c r="AA53" s="75" t="s">
        <v>103</v>
      </c>
      <c r="AB53" s="44">
        <v>0</v>
      </c>
    </row>
    <row r="54" spans="1:28" ht="15">
      <c r="A54" s="15">
        <f t="shared" si="8"/>
        <v>41</v>
      </c>
      <c r="B54" s="15" t="s">
        <v>249</v>
      </c>
      <c r="C54" s="16">
        <v>2020</v>
      </c>
      <c r="D54" s="75" t="s">
        <v>189</v>
      </c>
      <c r="E54" s="16" t="s">
        <v>194</v>
      </c>
      <c r="F54" s="17">
        <v>9</v>
      </c>
      <c r="G54" s="75" t="s">
        <v>119</v>
      </c>
      <c r="H54" s="75" t="s">
        <v>103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Yes</v>
      </c>
      <c r="J54" s="37">
        <v>24713</v>
      </c>
      <c r="K54" s="37">
        <v>23799</v>
      </c>
      <c r="L54" s="35">
        <v>1.02</v>
      </c>
      <c r="M54" s="78">
        <f t="shared" si="9"/>
        <v>24228.431372549017</v>
      </c>
      <c r="N54" s="79">
        <f t="shared" si="10"/>
        <v>0.98227572532675123</v>
      </c>
      <c r="O54" s="80">
        <f t="shared" si="0"/>
        <v>914</v>
      </c>
      <c r="P54" s="19">
        <v>-3002</v>
      </c>
      <c r="Q54" s="19">
        <v>2154</v>
      </c>
      <c r="R54" s="81">
        <f t="shared" si="1"/>
        <v>-848</v>
      </c>
      <c r="S54" s="82">
        <f t="shared" si="11"/>
        <v>-1.2656244169993658</v>
      </c>
      <c r="T54" s="83" t="s">
        <v>180</v>
      </c>
      <c r="U54" s="83" t="s">
        <v>152</v>
      </c>
      <c r="V54" s="83" t="s">
        <v>155</v>
      </c>
      <c r="W54" s="113">
        <f t="shared" si="12"/>
        <v>30</v>
      </c>
      <c r="AA54" s="75" t="s">
        <v>103</v>
      </c>
      <c r="AB54" s="44">
        <v>0</v>
      </c>
    </row>
    <row r="55" spans="1:28" ht="15">
      <c r="A55" s="15">
        <f t="shared" si="8"/>
        <v>42</v>
      </c>
      <c r="B55" s="15" t="s">
        <v>250</v>
      </c>
      <c r="C55" s="16">
        <v>2020</v>
      </c>
      <c r="D55" s="75" t="s">
        <v>189</v>
      </c>
      <c r="E55" s="16" t="s">
        <v>200</v>
      </c>
      <c r="F55" s="17">
        <v>1</v>
      </c>
      <c r="G55" s="75" t="s">
        <v>116</v>
      </c>
      <c r="H55" s="75" t="s">
        <v>103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7">
        <v>13010</v>
      </c>
      <c r="K55" s="37">
        <v>13010</v>
      </c>
      <c r="L55" s="35">
        <v>1.06</v>
      </c>
      <c r="M55" s="78">
        <f t="shared" si="9"/>
        <v>12273.584905660377</v>
      </c>
      <c r="N55" s="79">
        <f t="shared" si="10"/>
        <v>1.06</v>
      </c>
      <c r="O55" s="80">
        <f t="shared" si="0"/>
        <v>0</v>
      </c>
      <c r="P55" s="19">
        <v>1801</v>
      </c>
      <c r="Q55" s="19">
        <v>495</v>
      </c>
      <c r="R55" s="81">
        <f t="shared" si="1"/>
        <v>2296</v>
      </c>
      <c r="S55" s="82">
        <f t="shared" si="11"/>
        <v>73.740744044963876</v>
      </c>
      <c r="T55" s="83" t="s">
        <v>174</v>
      </c>
      <c r="U55" s="83" t="s">
        <v>152</v>
      </c>
      <c r="V55" s="83" t="s">
        <v>157</v>
      </c>
      <c r="W55" s="113">
        <f t="shared" si="12"/>
        <v>30</v>
      </c>
      <c r="AA55" s="75" t="s">
        <v>103</v>
      </c>
      <c r="AB55" s="44">
        <v>0</v>
      </c>
    </row>
    <row r="56" spans="1:28" ht="15">
      <c r="A56" s="15">
        <f t="shared" si="8"/>
        <v>43</v>
      </c>
      <c r="B56" s="15" t="s">
        <v>251</v>
      </c>
      <c r="C56" s="16">
        <v>2019</v>
      </c>
      <c r="D56" s="75" t="s">
        <v>190</v>
      </c>
      <c r="E56" s="16" t="s">
        <v>238</v>
      </c>
      <c r="F56" s="17">
        <v>18</v>
      </c>
      <c r="G56" s="75" t="s">
        <v>108</v>
      </c>
      <c r="H56" s="75" t="s">
        <v>103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37">
        <v>27207</v>
      </c>
      <c r="K56" s="37">
        <v>24020</v>
      </c>
      <c r="L56" s="35">
        <v>0.97</v>
      </c>
      <c r="M56" s="78">
        <f t="shared" si="9"/>
        <v>28048.453608247422</v>
      </c>
      <c r="N56" s="79">
        <f t="shared" si="10"/>
        <v>0.85637519755945157</v>
      </c>
      <c r="O56" s="80">
        <f t="shared" si="0"/>
        <v>3187</v>
      </c>
      <c r="P56" s="19">
        <v>-1352</v>
      </c>
      <c r="Q56" s="19">
        <v>2659</v>
      </c>
      <c r="R56" s="81">
        <f t="shared" si="1"/>
        <v>1307</v>
      </c>
      <c r="S56" s="82">
        <f t="shared" si="11"/>
        <v>1.0302695885227811</v>
      </c>
      <c r="T56" s="83" t="s">
        <v>161</v>
      </c>
      <c r="U56" s="83" t="s">
        <v>153</v>
      </c>
      <c r="V56" s="83" t="s">
        <v>157</v>
      </c>
      <c r="W56" s="113">
        <f t="shared" si="12"/>
        <v>30</v>
      </c>
      <c r="AA56" s="75" t="s">
        <v>103</v>
      </c>
      <c r="AB56" s="44">
        <v>0</v>
      </c>
    </row>
    <row r="57" spans="1:28" ht="15">
      <c r="A57" s="15">
        <f t="shared" si="8"/>
        <v>44</v>
      </c>
      <c r="B57" s="15" t="s">
        <v>252</v>
      </c>
      <c r="C57" s="16">
        <v>2021</v>
      </c>
      <c r="D57" s="75" t="s">
        <v>16</v>
      </c>
      <c r="E57" s="16" t="s">
        <v>253</v>
      </c>
      <c r="F57" s="17">
        <v>19</v>
      </c>
      <c r="G57" s="75" t="s">
        <v>108</v>
      </c>
      <c r="H57" s="75" t="s">
        <v>103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No</v>
      </c>
      <c r="J57" s="37">
        <v>20188</v>
      </c>
      <c r="K57" s="37">
        <v>18850</v>
      </c>
      <c r="L57" s="35">
        <v>0.97</v>
      </c>
      <c r="M57" s="78">
        <f t="shared" si="9"/>
        <v>20812.371134020617</v>
      </c>
      <c r="N57" s="79">
        <f t="shared" si="10"/>
        <v>0.90571131365167434</v>
      </c>
      <c r="O57" s="80">
        <f t="shared" si="0"/>
        <v>1338</v>
      </c>
      <c r="P57" s="19">
        <v>1121</v>
      </c>
      <c r="Q57" s="19">
        <v>2357</v>
      </c>
      <c r="R57" s="81">
        <f t="shared" si="1"/>
        <v>3478</v>
      </c>
      <c r="S57" s="82">
        <f t="shared" si="11"/>
        <v>3.7170143475898834</v>
      </c>
      <c r="T57" s="83" t="s">
        <v>172</v>
      </c>
      <c r="U57" s="83" t="s">
        <v>152</v>
      </c>
      <c r="V57" s="83" t="s">
        <v>157</v>
      </c>
      <c r="W57" s="113">
        <f t="shared" si="12"/>
        <v>30</v>
      </c>
      <c r="AA57" s="75" t="s">
        <v>103</v>
      </c>
      <c r="AB57" s="44">
        <v>0</v>
      </c>
    </row>
    <row r="58" spans="1:28" ht="15">
      <c r="A58" s="15">
        <f t="shared" si="8"/>
        <v>45</v>
      </c>
      <c r="B58" s="15" t="s">
        <v>254</v>
      </c>
      <c r="C58" s="16">
        <v>2020</v>
      </c>
      <c r="D58" s="75" t="s">
        <v>255</v>
      </c>
      <c r="E58" s="16" t="s">
        <v>256</v>
      </c>
      <c r="F58" s="17">
        <v>14</v>
      </c>
      <c r="G58" s="75" t="s">
        <v>108</v>
      </c>
      <c r="H58" s="75" t="s">
        <v>103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No</v>
      </c>
      <c r="J58" s="37">
        <v>37688</v>
      </c>
      <c r="K58" s="37">
        <v>37688</v>
      </c>
      <c r="L58" s="35">
        <v>1.02</v>
      </c>
      <c r="M58" s="78">
        <f t="shared" si="9"/>
        <v>36949.01960784314</v>
      </c>
      <c r="N58" s="79">
        <f t="shared" si="10"/>
        <v>1.02</v>
      </c>
      <c r="O58" s="80">
        <f t="shared" si="0"/>
        <v>0</v>
      </c>
      <c r="P58" s="19">
        <v>510</v>
      </c>
      <c r="Q58" s="19">
        <v>1854</v>
      </c>
      <c r="R58" s="81">
        <f t="shared" si="1"/>
        <v>2364</v>
      </c>
      <c r="S58" s="82">
        <f t="shared" si="11"/>
        <v>1.6350683583993606</v>
      </c>
      <c r="T58" s="83" t="s">
        <v>179</v>
      </c>
      <c r="U58" s="83" t="s">
        <v>153</v>
      </c>
      <c r="V58" s="83" t="s">
        <v>156</v>
      </c>
      <c r="W58" s="113">
        <f t="shared" si="12"/>
        <v>30</v>
      </c>
      <c r="AA58" s="75" t="s">
        <v>107</v>
      </c>
      <c r="AB58" s="44">
        <v>-2500</v>
      </c>
    </row>
    <row r="59" spans="1:28" ht="15">
      <c r="A59" s="15">
        <f t="shared" si="8"/>
        <v>46</v>
      </c>
      <c r="B59" s="15" t="s">
        <v>257</v>
      </c>
      <c r="C59" s="16">
        <v>2019</v>
      </c>
      <c r="D59" s="75" t="s">
        <v>189</v>
      </c>
      <c r="E59" s="16" t="s">
        <v>194</v>
      </c>
      <c r="F59" s="17">
        <v>9</v>
      </c>
      <c r="G59" s="75" t="s">
        <v>102</v>
      </c>
      <c r="H59" s="75" t="s">
        <v>103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Yes</v>
      </c>
      <c r="J59" s="37">
        <v>21388</v>
      </c>
      <c r="K59" s="37">
        <v>21988</v>
      </c>
      <c r="L59" s="35">
        <v>1.02</v>
      </c>
      <c r="M59" s="78">
        <f t="shared" si="9"/>
        <v>20968.627450980392</v>
      </c>
      <c r="N59" s="79">
        <f t="shared" si="10"/>
        <v>1.0486141761735552</v>
      </c>
      <c r="O59" s="80">
        <f t="shared" si="0"/>
        <v>-600</v>
      </c>
      <c r="P59" s="19">
        <v>4136</v>
      </c>
      <c r="Q59" s="19">
        <v>907</v>
      </c>
      <c r="R59" s="81">
        <f t="shared" si="1"/>
        <v>5043</v>
      </c>
      <c r="S59" s="82">
        <f t="shared" si="11"/>
        <v>11.299574277391889</v>
      </c>
      <c r="T59" s="83" t="s">
        <v>185</v>
      </c>
      <c r="U59" s="83" t="s">
        <v>153</v>
      </c>
      <c r="V59" s="83" t="s">
        <v>155</v>
      </c>
      <c r="W59" s="113">
        <f t="shared" si="12"/>
        <v>30</v>
      </c>
      <c r="AA59" s="75" t="s">
        <v>103</v>
      </c>
      <c r="AB59" s="44">
        <v>0</v>
      </c>
    </row>
    <row r="60" spans="1:28" ht="15">
      <c r="A60" s="15">
        <f t="shared" si="8"/>
        <v>47</v>
      </c>
      <c r="B60" s="15" t="s">
        <v>258</v>
      </c>
      <c r="C60" s="16">
        <v>2021</v>
      </c>
      <c r="D60" s="75" t="s">
        <v>189</v>
      </c>
      <c r="E60" s="16" t="s">
        <v>194</v>
      </c>
      <c r="F60" s="17">
        <v>82</v>
      </c>
      <c r="G60" s="75" t="s">
        <v>108</v>
      </c>
      <c r="H60" s="75" t="s">
        <v>103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Yes</v>
      </c>
      <c r="J60" s="37">
        <v>21346</v>
      </c>
      <c r="K60" s="37">
        <v>27130</v>
      </c>
      <c r="L60" s="35">
        <v>0.8</v>
      </c>
      <c r="M60" s="78">
        <f t="shared" si="9"/>
        <v>26682.5</v>
      </c>
      <c r="N60" s="79">
        <f t="shared" si="10"/>
        <v>1.016771292045348</v>
      </c>
      <c r="O60" s="80">
        <f t="shared" si="0"/>
        <v>-5784</v>
      </c>
      <c r="P60" s="19">
        <v>4755</v>
      </c>
      <c r="Q60" s="19">
        <v>2099</v>
      </c>
      <c r="R60" s="81">
        <f t="shared" si="1"/>
        <v>6854</v>
      </c>
      <c r="S60" s="82">
        <f t="shared" si="11"/>
        <v>1.3448371712767409</v>
      </c>
      <c r="T60" s="83" t="s">
        <v>168</v>
      </c>
      <c r="U60" s="83" t="s">
        <v>153</v>
      </c>
      <c r="V60" s="83" t="s">
        <v>156</v>
      </c>
      <c r="W60" s="113">
        <f t="shared" si="12"/>
        <v>90</v>
      </c>
      <c r="AA60" s="75" t="s">
        <v>103</v>
      </c>
      <c r="AB60" s="44">
        <v>0</v>
      </c>
    </row>
    <row r="61" spans="1:28" ht="15">
      <c r="A61" s="15">
        <f t="shared" si="8"/>
        <v>48</v>
      </c>
      <c r="B61" s="15" t="s">
        <v>259</v>
      </c>
      <c r="C61" s="16">
        <v>2021</v>
      </c>
      <c r="D61" s="75" t="s">
        <v>189</v>
      </c>
      <c r="E61" s="16" t="s">
        <v>191</v>
      </c>
      <c r="F61" s="17">
        <v>76</v>
      </c>
      <c r="G61" s="75" t="s">
        <v>111</v>
      </c>
      <c r="H61" s="75" t="s">
        <v>103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Yes</v>
      </c>
      <c r="J61" s="37">
        <v>26900</v>
      </c>
      <c r="K61" s="37">
        <v>26900</v>
      </c>
      <c r="L61" s="35">
        <v>0.8</v>
      </c>
      <c r="M61" s="78">
        <f t="shared" si="9"/>
        <v>33625</v>
      </c>
      <c r="N61" s="79">
        <f t="shared" si="10"/>
        <v>0.8</v>
      </c>
      <c r="O61" s="80">
        <f t="shared" si="0"/>
        <v>0</v>
      </c>
      <c r="P61" s="19">
        <v>6340</v>
      </c>
      <c r="Q61" s="19">
        <v>0</v>
      </c>
      <c r="R61" s="81">
        <f t="shared" si="1"/>
        <v>6340</v>
      </c>
      <c r="S61" s="82">
        <f t="shared" si="11"/>
        <v>1.46067990989146</v>
      </c>
      <c r="T61" s="83" t="s">
        <v>164</v>
      </c>
      <c r="U61" s="83" t="s">
        <v>152</v>
      </c>
      <c r="V61" s="83" t="s">
        <v>156</v>
      </c>
      <c r="W61" s="113">
        <f t="shared" si="12"/>
        <v>90</v>
      </c>
      <c r="AA61" s="75" t="s">
        <v>103</v>
      </c>
      <c r="AB61" s="44">
        <v>0</v>
      </c>
    </row>
    <row r="62" spans="1:28" ht="15">
      <c r="A62" s="15">
        <f t="shared" si="8"/>
        <v>49</v>
      </c>
      <c r="B62" s="15" t="s">
        <v>260</v>
      </c>
      <c r="C62" s="16">
        <v>2021</v>
      </c>
      <c r="D62" s="75" t="s">
        <v>190</v>
      </c>
      <c r="E62" s="16" t="s">
        <v>237</v>
      </c>
      <c r="F62" s="17">
        <v>27</v>
      </c>
      <c r="G62" s="75" t="s">
        <v>108</v>
      </c>
      <c r="H62" s="75" t="s">
        <v>103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No</v>
      </c>
      <c r="J62" s="37">
        <v>31737</v>
      </c>
      <c r="K62" s="37">
        <v>32437</v>
      </c>
      <c r="L62" s="35">
        <v>0.91</v>
      </c>
      <c r="M62" s="78">
        <f t="shared" si="9"/>
        <v>34875.824175824171</v>
      </c>
      <c r="N62" s="79">
        <f t="shared" si="10"/>
        <v>0.93007121025931894</v>
      </c>
      <c r="O62" s="80">
        <f t="shared" si="0"/>
        <v>-700</v>
      </c>
      <c r="P62" s="19">
        <v>693</v>
      </c>
      <c r="Q62" s="19">
        <v>1101</v>
      </c>
      <c r="R62" s="81">
        <f t="shared" si="1"/>
        <v>1794</v>
      </c>
      <c r="S62" s="82">
        <f t="shared" si="11"/>
        <v>0.75352822580645162</v>
      </c>
      <c r="T62" s="83" t="s">
        <v>175</v>
      </c>
      <c r="U62" s="83" t="s">
        <v>153</v>
      </c>
      <c r="V62" s="83" t="s">
        <v>156</v>
      </c>
      <c r="W62" s="113">
        <f t="shared" si="12"/>
        <v>30</v>
      </c>
      <c r="AA62" s="75" t="s">
        <v>103</v>
      </c>
      <c r="AB62" s="44">
        <v>0</v>
      </c>
    </row>
    <row r="63" spans="1:28" ht="15">
      <c r="A63" s="15">
        <f t="shared" si="8"/>
        <v>50</v>
      </c>
      <c r="B63" s="15" t="s">
        <v>223</v>
      </c>
      <c r="C63" s="16">
        <v>2020</v>
      </c>
      <c r="D63" s="75" t="s">
        <v>189</v>
      </c>
      <c r="E63" s="16" t="s">
        <v>191</v>
      </c>
      <c r="F63" s="17">
        <v>19</v>
      </c>
      <c r="G63" s="75" t="s">
        <v>111</v>
      </c>
      <c r="H63" s="75" t="s">
        <v>103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37">
        <v>25049</v>
      </c>
      <c r="K63" s="37">
        <v>22035</v>
      </c>
      <c r="L63" s="35">
        <v>0.97</v>
      </c>
      <c r="M63" s="78">
        <f t="shared" si="9"/>
        <v>25823.711340206188</v>
      </c>
      <c r="N63" s="79">
        <f t="shared" si="10"/>
        <v>0.85328556030180835</v>
      </c>
      <c r="O63" s="80">
        <f t="shared" si="0"/>
        <v>3014</v>
      </c>
      <c r="P63" s="19">
        <v>-396</v>
      </c>
      <c r="Q63" s="19">
        <v>3618</v>
      </c>
      <c r="R63" s="81">
        <f t="shared" si="1"/>
        <v>3222</v>
      </c>
      <c r="S63" s="82">
        <f t="shared" si="11"/>
        <v>2.7216094268036009</v>
      </c>
      <c r="T63" s="83" t="s">
        <v>170</v>
      </c>
      <c r="U63" s="83" t="s">
        <v>153</v>
      </c>
      <c r="V63" s="83" t="s">
        <v>155</v>
      </c>
      <c r="W63" s="113">
        <f t="shared" si="12"/>
        <v>30</v>
      </c>
      <c r="AA63" s="75" t="s">
        <v>107</v>
      </c>
      <c r="AB63" s="44">
        <v>-1500</v>
      </c>
    </row>
    <row r="64" spans="1:28" ht="15">
      <c r="A64" s="15">
        <f t="shared" si="8"/>
        <v>51</v>
      </c>
      <c r="B64" s="15" t="s">
        <v>261</v>
      </c>
      <c r="C64" s="16">
        <v>2017</v>
      </c>
      <c r="D64" s="75" t="s">
        <v>190</v>
      </c>
      <c r="E64" s="16" t="s">
        <v>262</v>
      </c>
      <c r="F64" s="17">
        <v>28</v>
      </c>
      <c r="G64" s="75" t="s">
        <v>102</v>
      </c>
      <c r="H64" s="75" t="s">
        <v>103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No</v>
      </c>
      <c r="J64" s="37">
        <v>26388</v>
      </c>
      <c r="K64" s="37">
        <v>20188</v>
      </c>
      <c r="L64" s="35">
        <v>0.91</v>
      </c>
      <c r="M64" s="78">
        <f t="shared" si="9"/>
        <v>28997.802197802197</v>
      </c>
      <c r="N64" s="79">
        <f t="shared" si="10"/>
        <v>0.69619069273912382</v>
      </c>
      <c r="O64" s="80">
        <f t="shared" si="0"/>
        <v>6200</v>
      </c>
      <c r="P64" s="19">
        <v>-2326</v>
      </c>
      <c r="Q64" s="19">
        <v>3668</v>
      </c>
      <c r="R64" s="81">
        <f t="shared" si="1"/>
        <v>1342</v>
      </c>
      <c r="S64" s="82">
        <f t="shared" si="11"/>
        <v>0.76638028401375657</v>
      </c>
      <c r="T64" s="83" t="s">
        <v>183</v>
      </c>
      <c r="U64" s="83" t="s">
        <v>152</v>
      </c>
      <c r="V64" s="83" t="s">
        <v>155</v>
      </c>
      <c r="W64" s="113">
        <f t="shared" si="12"/>
        <v>30</v>
      </c>
      <c r="AA64" s="75" t="s">
        <v>107</v>
      </c>
      <c r="AB64" s="44">
        <v>2000</v>
      </c>
    </row>
    <row r="65" spans="1:28" ht="15">
      <c r="A65" s="15">
        <f t="shared" si="8"/>
        <v>52</v>
      </c>
      <c r="B65" s="15" t="s">
        <v>263</v>
      </c>
      <c r="C65" s="16">
        <v>2017</v>
      </c>
      <c r="D65" s="75" t="s">
        <v>190</v>
      </c>
      <c r="E65" s="16" t="s">
        <v>192</v>
      </c>
      <c r="F65" s="17">
        <v>19</v>
      </c>
      <c r="G65" s="75" t="s">
        <v>102</v>
      </c>
      <c r="H65" s="75" t="s">
        <v>103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No</v>
      </c>
      <c r="J65" s="37">
        <v>19988</v>
      </c>
      <c r="K65" s="37">
        <v>19610</v>
      </c>
      <c r="L65" s="35">
        <v>0.97</v>
      </c>
      <c r="M65" s="78">
        <f t="shared" si="9"/>
        <v>20606.18556701031</v>
      </c>
      <c r="N65" s="79">
        <f t="shared" si="10"/>
        <v>0.9516559935961576</v>
      </c>
      <c r="O65" s="80">
        <f t="shared" si="0"/>
        <v>378</v>
      </c>
      <c r="P65" s="19">
        <v>-221</v>
      </c>
      <c r="Q65" s="19">
        <v>2014</v>
      </c>
      <c r="R65" s="81">
        <f t="shared" si="1"/>
        <v>1793</v>
      </c>
      <c r="S65" s="82">
        <f t="shared" si="11"/>
        <v>1.7131073359360278</v>
      </c>
      <c r="T65" s="83" t="s">
        <v>168</v>
      </c>
      <c r="U65" s="83" t="s">
        <v>152</v>
      </c>
      <c r="V65" s="83" t="s">
        <v>155</v>
      </c>
      <c r="W65" s="113">
        <f t="shared" si="12"/>
        <v>30</v>
      </c>
      <c r="AA65" s="75" t="s">
        <v>103</v>
      </c>
      <c r="AB65" s="44">
        <v>0</v>
      </c>
    </row>
    <row r="66" spans="1:28" ht="15">
      <c r="A66" s="15">
        <f t="shared" si="8"/>
        <v>53</v>
      </c>
      <c r="B66" s="15" t="s">
        <v>264</v>
      </c>
      <c r="C66" s="16">
        <v>2018</v>
      </c>
      <c r="D66" s="75" t="s">
        <v>189</v>
      </c>
      <c r="E66" s="16" t="s">
        <v>191</v>
      </c>
      <c r="F66" s="17">
        <v>14</v>
      </c>
      <c r="G66" s="75" t="s">
        <v>102</v>
      </c>
      <c r="H66" s="75" t="s">
        <v>103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Yes</v>
      </c>
      <c r="J66" s="37">
        <v>24899</v>
      </c>
      <c r="K66" s="37">
        <v>23292</v>
      </c>
      <c r="L66" s="35">
        <v>1.02</v>
      </c>
      <c r="M66" s="78">
        <f t="shared" si="9"/>
        <v>24410.784313725489</v>
      </c>
      <c r="N66" s="79">
        <f t="shared" si="10"/>
        <v>0.95416844049961846</v>
      </c>
      <c r="O66" s="80">
        <f t="shared" si="0"/>
        <v>1607</v>
      </c>
      <c r="P66" s="19">
        <v>-258</v>
      </c>
      <c r="Q66" s="19">
        <v>2222</v>
      </c>
      <c r="R66" s="81">
        <f t="shared" si="1"/>
        <v>1964</v>
      </c>
      <c r="S66" s="82">
        <f t="shared" si="11"/>
        <v>2.1444949954504096</v>
      </c>
      <c r="T66" s="83" t="s">
        <v>177</v>
      </c>
      <c r="U66" s="83" t="s">
        <v>152</v>
      </c>
      <c r="V66" s="83" t="s">
        <v>155</v>
      </c>
      <c r="W66" s="113">
        <f t="shared" si="12"/>
        <v>30</v>
      </c>
      <c r="AA66" s="75" t="s">
        <v>103</v>
      </c>
      <c r="AB66" s="44">
        <v>0</v>
      </c>
    </row>
    <row r="67" spans="1:28" ht="15">
      <c r="A67" s="15">
        <f t="shared" si="8"/>
        <v>54</v>
      </c>
      <c r="B67" s="15" t="s">
        <v>265</v>
      </c>
      <c r="C67" s="16">
        <v>2019</v>
      </c>
      <c r="D67" s="75" t="s">
        <v>189</v>
      </c>
      <c r="E67" s="16" t="s">
        <v>194</v>
      </c>
      <c r="F67" s="17">
        <v>82</v>
      </c>
      <c r="G67" s="75" t="s">
        <v>102</v>
      </c>
      <c r="H67" s="75" t="s">
        <v>230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37">
        <v>20550</v>
      </c>
      <c r="K67" s="37">
        <v>25548</v>
      </c>
      <c r="L67" s="35">
        <v>0.8</v>
      </c>
      <c r="M67" s="78">
        <f t="shared" si="9"/>
        <v>25687.5</v>
      </c>
      <c r="N67" s="79">
        <f t="shared" si="10"/>
        <v>0.99456934306569345</v>
      </c>
      <c r="O67" s="80">
        <f t="shared" si="0"/>
        <v>-4998</v>
      </c>
      <c r="P67" s="19">
        <v>4001</v>
      </c>
      <c r="Q67" s="19">
        <v>2782</v>
      </c>
      <c r="R67" s="81">
        <f t="shared" si="1"/>
        <v>6783</v>
      </c>
      <c r="S67" s="82">
        <f t="shared" si="11"/>
        <v>1.3820496769965147</v>
      </c>
      <c r="T67" s="83" t="s">
        <v>167</v>
      </c>
      <c r="U67" s="83" t="s">
        <v>152</v>
      </c>
      <c r="V67" s="83" t="s">
        <v>155</v>
      </c>
      <c r="W67" s="113">
        <f t="shared" si="12"/>
        <v>90</v>
      </c>
      <c r="AA67" s="75" t="s">
        <v>230</v>
      </c>
      <c r="AB67" s="44">
        <v>0</v>
      </c>
    </row>
    <row r="68" spans="1:28" ht="15">
      <c r="A68" s="15">
        <f t="shared" si="8"/>
        <v>55</v>
      </c>
      <c r="B68" s="15" t="s">
        <v>266</v>
      </c>
      <c r="C68" s="16">
        <v>2020</v>
      </c>
      <c r="D68" s="75" t="s">
        <v>16</v>
      </c>
      <c r="E68" s="16" t="s">
        <v>253</v>
      </c>
      <c r="F68" s="17">
        <v>32</v>
      </c>
      <c r="G68" s="75" t="s">
        <v>108</v>
      </c>
      <c r="H68" s="75" t="s">
        <v>103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7">
        <v>13332</v>
      </c>
      <c r="K68" s="37">
        <v>16995</v>
      </c>
      <c r="L68" s="35">
        <v>0.87</v>
      </c>
      <c r="M68" s="78">
        <f t="shared" si="9"/>
        <v>15324.137931034484</v>
      </c>
      <c r="N68" s="79">
        <f t="shared" si="10"/>
        <v>1.1090346534653466</v>
      </c>
      <c r="O68" s="80">
        <f t="shared" si="0"/>
        <v>-3663</v>
      </c>
      <c r="P68" s="19">
        <v>901</v>
      </c>
      <c r="Q68" s="19">
        <v>428</v>
      </c>
      <c r="R68" s="81">
        <f t="shared" si="1"/>
        <v>1329</v>
      </c>
      <c r="S68" s="82">
        <f t="shared" si="11"/>
        <v>0.92899527774325841</v>
      </c>
      <c r="T68" s="83" t="s">
        <v>173</v>
      </c>
      <c r="U68" s="83" t="s">
        <v>153</v>
      </c>
      <c r="V68" s="83" t="s">
        <v>156</v>
      </c>
      <c r="W68" s="113">
        <f t="shared" si="12"/>
        <v>45</v>
      </c>
      <c r="AA68" s="75" t="s">
        <v>103</v>
      </c>
      <c r="AB68" s="44">
        <v>0</v>
      </c>
    </row>
    <row r="69" spans="1:28" ht="15">
      <c r="A69" s="15">
        <f t="shared" si="8"/>
        <v>56</v>
      </c>
      <c r="B69" s="15" t="s">
        <v>267</v>
      </c>
      <c r="C69" s="16">
        <v>2021</v>
      </c>
      <c r="D69" s="75" t="s">
        <v>189</v>
      </c>
      <c r="E69" s="16" t="s">
        <v>220</v>
      </c>
      <c r="F69" s="17">
        <v>37</v>
      </c>
      <c r="G69" s="75" t="s">
        <v>102</v>
      </c>
      <c r="H69" s="75" t="s">
        <v>103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Yes</v>
      </c>
      <c r="J69" s="37">
        <v>19861</v>
      </c>
      <c r="K69" s="37">
        <v>27390</v>
      </c>
      <c r="L69" s="35">
        <v>0.87</v>
      </c>
      <c r="M69" s="78">
        <f t="shared" si="9"/>
        <v>22828.735632183907</v>
      </c>
      <c r="N69" s="79">
        <f t="shared" si="10"/>
        <v>1.1998036352650925</v>
      </c>
      <c r="O69" s="80">
        <f t="shared" si="0"/>
        <v>-7529</v>
      </c>
      <c r="P69" s="19">
        <v>6383</v>
      </c>
      <c r="Q69" s="19">
        <v>4020</v>
      </c>
      <c r="R69" s="81">
        <f t="shared" si="1"/>
        <v>10403</v>
      </c>
      <c r="S69" s="82">
        <f t="shared" si="11"/>
        <v>4.8183166743646586</v>
      </c>
      <c r="T69" s="83" t="s">
        <v>179</v>
      </c>
      <c r="U69" s="83" t="s">
        <v>153</v>
      </c>
      <c r="V69" s="83" t="s">
        <v>156</v>
      </c>
      <c r="W69" s="113">
        <f t="shared" si="12"/>
        <v>45</v>
      </c>
      <c r="AA69" s="75" t="s">
        <v>103</v>
      </c>
      <c r="AB69" s="44">
        <v>0</v>
      </c>
    </row>
    <row r="70" spans="1:28" ht="15">
      <c r="A70" s="15">
        <f t="shared" si="8"/>
        <v>57</v>
      </c>
      <c r="B70" s="15" t="s">
        <v>268</v>
      </c>
      <c r="C70" s="16">
        <v>2019</v>
      </c>
      <c r="D70" s="75" t="s">
        <v>190</v>
      </c>
      <c r="E70" s="16" t="s">
        <v>238</v>
      </c>
      <c r="F70" s="17">
        <v>5</v>
      </c>
      <c r="G70" s="75" t="s">
        <v>108</v>
      </c>
      <c r="H70" s="75" t="s">
        <v>103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No</v>
      </c>
      <c r="J70" s="37">
        <v>25958</v>
      </c>
      <c r="K70" s="37">
        <v>22999</v>
      </c>
      <c r="L70" s="35">
        <v>1.06</v>
      </c>
      <c r="M70" s="78">
        <f t="shared" si="9"/>
        <v>24488.679245283016</v>
      </c>
      <c r="N70" s="79">
        <f t="shared" si="10"/>
        <v>0.93916865706140695</v>
      </c>
      <c r="O70" s="80">
        <f t="shared" si="0"/>
        <v>2959</v>
      </c>
      <c r="P70" s="19">
        <v>-72</v>
      </c>
      <c r="Q70" s="19">
        <v>2159</v>
      </c>
      <c r="R70" s="81">
        <f t="shared" si="1"/>
        <v>2087</v>
      </c>
      <c r="S70" s="82">
        <f t="shared" si="11"/>
        <v>6.5131116986693254</v>
      </c>
      <c r="T70" s="83" t="s">
        <v>168</v>
      </c>
      <c r="U70" s="83" t="s">
        <v>152</v>
      </c>
      <c r="V70" s="83" t="s">
        <v>155</v>
      </c>
      <c r="W70" s="113">
        <f t="shared" si="12"/>
        <v>30</v>
      </c>
      <c r="AA70" s="75" t="s">
        <v>103</v>
      </c>
      <c r="AB70" s="44">
        <v>0</v>
      </c>
    </row>
    <row r="71" spans="1:28" ht="15">
      <c r="A71" s="15">
        <f t="shared" si="8"/>
        <v>58</v>
      </c>
      <c r="B71" s="15" t="s">
        <v>269</v>
      </c>
      <c r="C71" s="16">
        <v>2021</v>
      </c>
      <c r="D71" s="75" t="s">
        <v>189</v>
      </c>
      <c r="E71" s="16" t="s">
        <v>208</v>
      </c>
      <c r="F71" s="17">
        <v>11</v>
      </c>
      <c r="G71" s="75" t="s">
        <v>102</v>
      </c>
      <c r="H71" s="75" t="s">
        <v>103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7">
        <v>31965</v>
      </c>
      <c r="K71" s="37">
        <v>35435</v>
      </c>
      <c r="L71" s="35" t="s">
        <v>328</v>
      </c>
      <c r="M71" s="78" t="e">
        <f t="shared" si="9"/>
        <v>#VALUE!</v>
      </c>
      <c r="N71" s="79" t="e">
        <f t="shared" si="10"/>
        <v>#VALUE!</v>
      </c>
      <c r="O71" s="80">
        <f t="shared" si="0"/>
        <v>-3470</v>
      </c>
      <c r="P71" s="19">
        <v>7440</v>
      </c>
      <c r="Q71" s="19">
        <v>5159</v>
      </c>
      <c r="R71" s="81">
        <f t="shared" si="1"/>
        <v>12599</v>
      </c>
      <c r="S71" s="82">
        <f t="shared" si="11"/>
        <v>14.728734027180177</v>
      </c>
      <c r="T71" s="83" t="s">
        <v>175</v>
      </c>
      <c r="U71" s="83" t="s">
        <v>152</v>
      </c>
      <c r="V71" s="83" t="s">
        <v>156</v>
      </c>
      <c r="W71" s="113">
        <f t="shared" si="12"/>
        <v>30</v>
      </c>
      <c r="AA71" s="75" t="s">
        <v>103</v>
      </c>
      <c r="AB71" s="44">
        <v>1283</v>
      </c>
    </row>
    <row r="72" spans="1:28" ht="15">
      <c r="A72" s="15">
        <f t="shared" si="8"/>
        <v>59</v>
      </c>
      <c r="B72" s="15" t="s">
        <v>270</v>
      </c>
      <c r="C72" s="16">
        <v>2021</v>
      </c>
      <c r="D72" s="75" t="s">
        <v>189</v>
      </c>
      <c r="E72" s="16" t="s">
        <v>271</v>
      </c>
      <c r="F72" s="17">
        <v>40</v>
      </c>
      <c r="G72" s="75" t="s">
        <v>102</v>
      </c>
      <c r="H72" s="75" t="s">
        <v>230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Yes</v>
      </c>
      <c r="J72" s="37">
        <v>32172</v>
      </c>
      <c r="K72" s="37">
        <v>30740</v>
      </c>
      <c r="L72" s="35">
        <v>0.87</v>
      </c>
      <c r="M72" s="78">
        <f t="shared" si="9"/>
        <v>36979.310344827587</v>
      </c>
      <c r="N72" s="79">
        <f t="shared" si="10"/>
        <v>0.83127564341663551</v>
      </c>
      <c r="O72" s="80">
        <f t="shared" si="0"/>
        <v>1432</v>
      </c>
      <c r="P72" s="19">
        <v>-875</v>
      </c>
      <c r="Q72" s="19">
        <v>875</v>
      </c>
      <c r="R72" s="81">
        <f t="shared" si="1"/>
        <v>0</v>
      </c>
      <c r="S72" s="82">
        <f t="shared" si="11"/>
        <v>0</v>
      </c>
      <c r="T72" s="83" t="s">
        <v>167</v>
      </c>
      <c r="U72" s="83" t="s">
        <v>152</v>
      </c>
      <c r="V72" s="83" t="s">
        <v>156</v>
      </c>
      <c r="W72" s="113">
        <f t="shared" si="12"/>
        <v>45</v>
      </c>
      <c r="AA72" s="75" t="s">
        <v>107</v>
      </c>
      <c r="AB72" s="44">
        <v>2000</v>
      </c>
    </row>
    <row r="73" spans="1:28" ht="15">
      <c r="A73" s="15">
        <f t="shared" si="8"/>
        <v>60</v>
      </c>
      <c r="B73" s="15" t="s">
        <v>272</v>
      </c>
      <c r="C73" s="16">
        <v>2022</v>
      </c>
      <c r="D73" s="75" t="s">
        <v>273</v>
      </c>
      <c r="E73" s="16" t="s">
        <v>274</v>
      </c>
      <c r="F73" s="17">
        <v>27</v>
      </c>
      <c r="G73" s="75" t="s">
        <v>108</v>
      </c>
      <c r="H73" s="75" t="s">
        <v>103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37">
        <v>22359</v>
      </c>
      <c r="K73" s="37">
        <v>22359</v>
      </c>
      <c r="L73" s="35">
        <v>0.91</v>
      </c>
      <c r="M73" s="78">
        <f t="shared" si="9"/>
        <v>24570.329670329669</v>
      </c>
      <c r="N73" s="79">
        <f t="shared" si="10"/>
        <v>0.91</v>
      </c>
      <c r="O73" s="80">
        <f t="shared" si="0"/>
        <v>0</v>
      </c>
      <c r="P73" s="19">
        <v>3789</v>
      </c>
      <c r="Q73" s="19">
        <v>3436</v>
      </c>
      <c r="R73" s="81">
        <f t="shared" si="1"/>
        <v>7225</v>
      </c>
      <c r="S73" s="82">
        <f t="shared" si="11"/>
        <v>5.1875785316819245</v>
      </c>
      <c r="T73" s="83" t="s">
        <v>173</v>
      </c>
      <c r="U73" s="83" t="s">
        <v>152</v>
      </c>
      <c r="V73" s="83" t="s">
        <v>156</v>
      </c>
      <c r="W73" s="113">
        <f t="shared" si="12"/>
        <v>30</v>
      </c>
      <c r="AA73" s="75" t="s">
        <v>107</v>
      </c>
      <c r="AB73" s="44">
        <v>3500</v>
      </c>
    </row>
    <row r="74" spans="1:28" ht="15">
      <c r="A74" s="15">
        <f t="shared" si="8"/>
        <v>61</v>
      </c>
      <c r="B74" s="15" t="s">
        <v>275</v>
      </c>
      <c r="C74" s="16">
        <v>2021</v>
      </c>
      <c r="D74" s="75" t="s">
        <v>189</v>
      </c>
      <c r="E74" s="16" t="s">
        <v>220</v>
      </c>
      <c r="F74" s="17">
        <v>29</v>
      </c>
      <c r="G74" s="75" t="s">
        <v>118</v>
      </c>
      <c r="H74" s="75" t="s">
        <v>103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Yes</v>
      </c>
      <c r="J74" s="37">
        <v>22229</v>
      </c>
      <c r="K74" s="37">
        <v>22229</v>
      </c>
      <c r="L74" s="35">
        <v>0.91</v>
      </c>
      <c r="M74" s="78">
        <f t="shared" si="9"/>
        <v>24427.472527472528</v>
      </c>
      <c r="N74" s="79">
        <f t="shared" si="10"/>
        <v>0.91</v>
      </c>
      <c r="O74" s="80">
        <f t="shared" si="0"/>
        <v>0</v>
      </c>
      <c r="P74" s="19">
        <v>804</v>
      </c>
      <c r="Q74" s="19">
        <v>3229</v>
      </c>
      <c r="R74" s="81">
        <f t="shared" si="1"/>
        <v>4033</v>
      </c>
      <c r="S74" s="82">
        <f t="shared" si="11"/>
        <v>2.3367480787027723</v>
      </c>
      <c r="T74" s="83" t="s">
        <v>179</v>
      </c>
      <c r="U74" s="83" t="s">
        <v>152</v>
      </c>
      <c r="V74" s="83" t="s">
        <v>157</v>
      </c>
      <c r="W74" s="113">
        <f t="shared" si="12"/>
        <v>30</v>
      </c>
      <c r="AA74" s="75" t="s">
        <v>103</v>
      </c>
      <c r="AB74" s="44">
        <v>0</v>
      </c>
    </row>
    <row r="75" spans="1:28" ht="15">
      <c r="A75" s="15">
        <f t="shared" si="8"/>
        <v>62</v>
      </c>
      <c r="B75" s="15" t="s">
        <v>276</v>
      </c>
      <c r="C75" s="16">
        <v>2023</v>
      </c>
      <c r="D75" s="75" t="s">
        <v>189</v>
      </c>
      <c r="E75" s="16" t="s">
        <v>194</v>
      </c>
      <c r="F75" s="17">
        <v>16</v>
      </c>
      <c r="G75" s="75" t="s">
        <v>109</v>
      </c>
      <c r="H75" s="75" t="s">
        <v>103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Yes</v>
      </c>
      <c r="J75" s="37">
        <v>37895</v>
      </c>
      <c r="K75" s="37">
        <v>27742</v>
      </c>
      <c r="L75" s="35">
        <v>0.97</v>
      </c>
      <c r="M75" s="78">
        <f t="shared" si="9"/>
        <v>39067.010309278354</v>
      </c>
      <c r="N75" s="79">
        <f t="shared" si="10"/>
        <v>0.71011320754716978</v>
      </c>
      <c r="O75" s="80">
        <f t="shared" si="0"/>
        <v>10153</v>
      </c>
      <c r="P75" s="19">
        <v>-2575</v>
      </c>
      <c r="Q75" s="19">
        <v>4970</v>
      </c>
      <c r="R75" s="81">
        <f t="shared" si="1"/>
        <v>2395</v>
      </c>
      <c r="S75" s="82">
        <f t="shared" si="11"/>
        <v>1.7774680872117954</v>
      </c>
      <c r="T75" s="83" t="s">
        <v>167</v>
      </c>
      <c r="U75" s="83" t="s">
        <v>152</v>
      </c>
      <c r="V75" s="83" t="s">
        <v>156</v>
      </c>
      <c r="W75" s="113">
        <f t="shared" si="12"/>
        <v>30</v>
      </c>
      <c r="AA75" s="75" t="s">
        <v>107</v>
      </c>
      <c r="AB75" s="44">
        <v>300</v>
      </c>
    </row>
    <row r="76" spans="1:28" ht="15">
      <c r="A76" s="15">
        <f t="shared" si="8"/>
        <v>63</v>
      </c>
      <c r="B76" s="15" t="s">
        <v>277</v>
      </c>
      <c r="C76" s="16">
        <v>2020</v>
      </c>
      <c r="D76" s="75" t="s">
        <v>189</v>
      </c>
      <c r="E76" s="16" t="s">
        <v>194</v>
      </c>
      <c r="F76" s="17">
        <v>1</v>
      </c>
      <c r="G76" s="75" t="s">
        <v>116</v>
      </c>
      <c r="H76" s="75" t="s">
        <v>103</v>
      </c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Yes</v>
      </c>
      <c r="J76" s="37">
        <v>13535</v>
      </c>
      <c r="K76" s="38">
        <v>13535</v>
      </c>
      <c r="L76" s="36">
        <v>1.06</v>
      </c>
      <c r="M76" s="78">
        <f t="shared" si="9"/>
        <v>12768.867924528302</v>
      </c>
      <c r="N76" s="79">
        <f t="shared" si="10"/>
        <v>1.06</v>
      </c>
      <c r="O76" s="80">
        <f t="shared" si="0"/>
        <v>0</v>
      </c>
      <c r="P76" s="19">
        <v>1788</v>
      </c>
      <c r="Q76" s="19">
        <v>0</v>
      </c>
      <c r="R76" s="81">
        <f t="shared" si="1"/>
        <v>1788</v>
      </c>
      <c r="S76" s="82">
        <f t="shared" si="11"/>
        <v>54.795266876649357</v>
      </c>
      <c r="T76" s="83" t="s">
        <v>183</v>
      </c>
      <c r="U76" s="83" t="s">
        <v>152</v>
      </c>
      <c r="V76" s="83" t="s">
        <v>157</v>
      </c>
      <c r="W76" s="113">
        <f t="shared" si="12"/>
        <v>30</v>
      </c>
      <c r="AA76" s="75" t="s">
        <v>103</v>
      </c>
      <c r="AB76" s="44">
        <v>0</v>
      </c>
    </row>
    <row r="77" spans="1:28" ht="15">
      <c r="A77" s="15">
        <f t="shared" si="8"/>
        <v>64</v>
      </c>
      <c r="B77" s="15" t="s">
        <v>278</v>
      </c>
      <c r="C77" s="16">
        <v>2018</v>
      </c>
      <c r="D77" s="75" t="s">
        <v>189</v>
      </c>
      <c r="E77" s="16" t="s">
        <v>271</v>
      </c>
      <c r="F77" s="17">
        <v>49</v>
      </c>
      <c r="G77" s="75" t="s">
        <v>108</v>
      </c>
      <c r="H77" s="75" t="s">
        <v>103</v>
      </c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Yes</v>
      </c>
      <c r="J77" s="37">
        <v>24970</v>
      </c>
      <c r="K77" s="38">
        <v>24970</v>
      </c>
      <c r="L77" s="36">
        <v>0.84</v>
      </c>
      <c r="M77" s="78">
        <f t="shared" si="9"/>
        <v>29726.190476190477</v>
      </c>
      <c r="N77" s="79">
        <f t="shared" si="10"/>
        <v>0.84</v>
      </c>
      <c r="O77" s="80">
        <f t="shared" ref="O77:O140" si="13">IF(K77=0,"BLANK",(J77-K77))</f>
        <v>0</v>
      </c>
      <c r="P77" s="19">
        <v>-1952</v>
      </c>
      <c r="Q77" s="19">
        <v>3859</v>
      </c>
      <c r="R77" s="81">
        <f t="shared" ref="R77:R140" si="14">IF(K77=0,"BLANK",SUM(P77:Q77))</f>
        <v>1907</v>
      </c>
      <c r="S77" s="82">
        <f t="shared" si="11"/>
        <v>0.52041498569563771</v>
      </c>
      <c r="T77" s="83" t="s">
        <v>175</v>
      </c>
      <c r="U77" s="83" t="s">
        <v>153</v>
      </c>
      <c r="V77" s="83" t="s">
        <v>156</v>
      </c>
      <c r="W77" s="113">
        <f t="shared" ref="W77:W108" si="15">IF(AND(F77&gt;0,F77&lt;=30),30,IF(AND(F77&gt;=31,F77&lt;=45),45,IF(AND(F77&gt;=46,F77&lt;=60),60,IF(AND(F77&gt;=61,F77&lt;=90),90,IF(F77&gt;=91,91,0)))))</f>
        <v>60</v>
      </c>
      <c r="AA77" s="75" t="s">
        <v>103</v>
      </c>
      <c r="AB77" s="44">
        <v>0</v>
      </c>
    </row>
    <row r="78" spans="1:28" ht="15">
      <c r="A78" s="15">
        <f t="shared" si="8"/>
        <v>65</v>
      </c>
      <c r="B78" s="15" t="s">
        <v>279</v>
      </c>
      <c r="C78" s="16">
        <v>2017</v>
      </c>
      <c r="D78" s="75" t="s">
        <v>6</v>
      </c>
      <c r="E78" s="16" t="s">
        <v>202</v>
      </c>
      <c r="F78" s="17">
        <v>47</v>
      </c>
      <c r="G78" s="75" t="s">
        <v>108</v>
      </c>
      <c r="H78" s="75" t="s">
        <v>103</v>
      </c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No</v>
      </c>
      <c r="J78" s="37">
        <v>16288</v>
      </c>
      <c r="K78" s="38">
        <v>14999</v>
      </c>
      <c r="L78" s="36">
        <v>0.85</v>
      </c>
      <c r="M78" s="78">
        <f t="shared" si="9"/>
        <v>19162.352941176472</v>
      </c>
      <c r="N78" s="79">
        <f t="shared" si="10"/>
        <v>0.78273268664047146</v>
      </c>
      <c r="O78" s="80">
        <f t="shared" si="13"/>
        <v>1289</v>
      </c>
      <c r="P78" s="19">
        <v>2767</v>
      </c>
      <c r="Q78" s="19">
        <v>2524</v>
      </c>
      <c r="R78" s="81">
        <f t="shared" si="14"/>
        <v>5291</v>
      </c>
      <c r="S78" s="82">
        <f t="shared" si="11"/>
        <v>3.3131792438389716</v>
      </c>
      <c r="T78" s="83" t="s">
        <v>170</v>
      </c>
      <c r="U78" s="83" t="s">
        <v>152</v>
      </c>
      <c r="V78" s="83" t="s">
        <v>156</v>
      </c>
      <c r="W78" s="113">
        <f t="shared" si="15"/>
        <v>60</v>
      </c>
      <c r="AA78" s="75" t="s">
        <v>103</v>
      </c>
      <c r="AB78" s="44">
        <v>0</v>
      </c>
    </row>
    <row r="79" spans="1:28" ht="15">
      <c r="A79" s="15">
        <f t="shared" ref="A79:A142" si="16">A78+1</f>
        <v>66</v>
      </c>
      <c r="B79" s="15" t="s">
        <v>280</v>
      </c>
      <c r="C79" s="16">
        <v>2021</v>
      </c>
      <c r="D79" s="75" t="s">
        <v>16</v>
      </c>
      <c r="E79" s="16" t="s">
        <v>281</v>
      </c>
      <c r="F79" s="17">
        <v>45</v>
      </c>
      <c r="G79" s="75" t="s">
        <v>118</v>
      </c>
      <c r="H79" s="75" t="s">
        <v>103</v>
      </c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No</v>
      </c>
      <c r="J79" s="37">
        <v>25597</v>
      </c>
      <c r="K79" s="38">
        <v>25597</v>
      </c>
      <c r="L79" s="36">
        <v>0.85</v>
      </c>
      <c r="M79" s="78">
        <f t="shared" ref="M79:M142" si="17">J79/L79</f>
        <v>30114.117647058825</v>
      </c>
      <c r="N79" s="79">
        <f t="shared" ref="N79:N142" si="18">K79/M79</f>
        <v>0.85</v>
      </c>
      <c r="O79" s="80">
        <f t="shared" si="13"/>
        <v>0</v>
      </c>
      <c r="P79" s="19">
        <v>156</v>
      </c>
      <c r="Q79" s="19">
        <v>1734</v>
      </c>
      <c r="R79" s="81">
        <f t="shared" si="14"/>
        <v>1890</v>
      </c>
      <c r="S79" s="82">
        <f t="shared" ref="S79:S142" si="19">(R79/(K79-P79))*(360/F79)</f>
        <v>0.59431626115325653</v>
      </c>
      <c r="T79" s="83" t="s">
        <v>164</v>
      </c>
      <c r="U79" s="83" t="s">
        <v>152</v>
      </c>
      <c r="V79" s="83" t="s">
        <v>157</v>
      </c>
      <c r="W79" s="113">
        <f t="shared" si="15"/>
        <v>45</v>
      </c>
      <c r="AA79" s="75" t="s">
        <v>107</v>
      </c>
      <c r="AB79" s="44">
        <v>500</v>
      </c>
    </row>
    <row r="80" spans="1:28" ht="15">
      <c r="A80" s="15">
        <f t="shared" si="16"/>
        <v>67</v>
      </c>
      <c r="B80" s="15" t="s">
        <v>282</v>
      </c>
      <c r="C80" s="16">
        <v>2021</v>
      </c>
      <c r="D80" s="75" t="s">
        <v>189</v>
      </c>
      <c r="E80" s="16" t="s">
        <v>191</v>
      </c>
      <c r="F80" s="17">
        <v>14</v>
      </c>
      <c r="G80" s="75" t="s">
        <v>108</v>
      </c>
      <c r="H80" s="75" t="s">
        <v>103</v>
      </c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Yes</v>
      </c>
      <c r="J80" s="37">
        <v>26511</v>
      </c>
      <c r="K80" s="38">
        <v>25186</v>
      </c>
      <c r="L80" s="125">
        <v>1.02</v>
      </c>
      <c r="M80" s="78">
        <f t="shared" si="17"/>
        <v>25991.176470588234</v>
      </c>
      <c r="N80" s="79">
        <f t="shared" si="18"/>
        <v>0.96902116102749802</v>
      </c>
      <c r="O80" s="80">
        <f t="shared" si="13"/>
        <v>1325</v>
      </c>
      <c r="P80" s="19">
        <v>709</v>
      </c>
      <c r="Q80" s="19">
        <v>3519</v>
      </c>
      <c r="R80" s="81">
        <f t="shared" si="14"/>
        <v>4228</v>
      </c>
      <c r="S80" s="82">
        <f t="shared" si="19"/>
        <v>4.4417207991175385</v>
      </c>
      <c r="T80" s="83" t="s">
        <v>167</v>
      </c>
      <c r="U80" s="83" t="s">
        <v>153</v>
      </c>
      <c r="V80" s="83" t="s">
        <v>157</v>
      </c>
      <c r="W80" s="113">
        <f t="shared" si="15"/>
        <v>30</v>
      </c>
      <c r="AA80" s="75" t="s">
        <v>103</v>
      </c>
      <c r="AB80" s="44">
        <v>0</v>
      </c>
    </row>
    <row r="81" spans="1:28" ht="15">
      <c r="A81" s="15">
        <f t="shared" si="16"/>
        <v>68</v>
      </c>
      <c r="B81" s="15" t="s">
        <v>283</v>
      </c>
      <c r="C81" s="16">
        <v>2020</v>
      </c>
      <c r="D81" s="75" t="s">
        <v>190</v>
      </c>
      <c r="E81" s="16" t="s">
        <v>238</v>
      </c>
      <c r="F81" s="17">
        <v>42</v>
      </c>
      <c r="G81" s="75" t="s">
        <v>111</v>
      </c>
      <c r="H81" s="75" t="s">
        <v>103</v>
      </c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37">
        <v>22711</v>
      </c>
      <c r="K81" s="38">
        <v>22711</v>
      </c>
      <c r="L81" s="36">
        <v>0.85</v>
      </c>
      <c r="M81" s="78">
        <f t="shared" si="17"/>
        <v>26718.823529411766</v>
      </c>
      <c r="N81" s="79">
        <f t="shared" si="18"/>
        <v>0.85</v>
      </c>
      <c r="O81" s="80">
        <f t="shared" si="13"/>
        <v>0</v>
      </c>
      <c r="P81" s="19">
        <v>-1781</v>
      </c>
      <c r="Q81" s="19">
        <v>283</v>
      </c>
      <c r="R81" s="81">
        <f t="shared" si="14"/>
        <v>-1498</v>
      </c>
      <c r="S81" s="82">
        <f t="shared" si="19"/>
        <v>-0.52425281724644779</v>
      </c>
      <c r="T81" s="83" t="s">
        <v>181</v>
      </c>
      <c r="U81" s="83" t="s">
        <v>153</v>
      </c>
      <c r="V81" s="83" t="s">
        <v>157</v>
      </c>
      <c r="W81" s="113">
        <f t="shared" si="15"/>
        <v>45</v>
      </c>
      <c r="AA81" s="75" t="s">
        <v>103</v>
      </c>
      <c r="AB81" s="44">
        <v>0</v>
      </c>
    </row>
    <row r="82" spans="1:28" ht="15">
      <c r="A82" s="15">
        <f t="shared" si="16"/>
        <v>69</v>
      </c>
      <c r="B82" s="15" t="s">
        <v>284</v>
      </c>
      <c r="C82" s="16">
        <v>2019</v>
      </c>
      <c r="D82" s="75" t="s">
        <v>189</v>
      </c>
      <c r="E82" s="16" t="s">
        <v>244</v>
      </c>
      <c r="F82" s="17">
        <v>99</v>
      </c>
      <c r="G82" s="75" t="s">
        <v>108</v>
      </c>
      <c r="H82" s="75" t="s">
        <v>103</v>
      </c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Yes</v>
      </c>
      <c r="J82" s="37">
        <v>21050</v>
      </c>
      <c r="K82" s="38">
        <v>20635</v>
      </c>
      <c r="L82" s="36">
        <v>0.8</v>
      </c>
      <c r="M82" s="78">
        <f t="shared" si="17"/>
        <v>26312.5</v>
      </c>
      <c r="N82" s="79">
        <f t="shared" si="18"/>
        <v>0.78422802850356299</v>
      </c>
      <c r="O82" s="80">
        <f t="shared" si="13"/>
        <v>415</v>
      </c>
      <c r="P82" s="19">
        <v>-2901</v>
      </c>
      <c r="Q82" s="19">
        <v>520</v>
      </c>
      <c r="R82" s="81">
        <f t="shared" si="14"/>
        <v>-2381</v>
      </c>
      <c r="S82" s="82">
        <f t="shared" si="19"/>
        <v>-0.36786972375007726</v>
      </c>
      <c r="T82" s="83" t="s">
        <v>164</v>
      </c>
      <c r="U82" s="83" t="s">
        <v>153</v>
      </c>
      <c r="V82" s="83" t="s">
        <v>157</v>
      </c>
      <c r="W82" s="113">
        <f t="shared" si="15"/>
        <v>91</v>
      </c>
      <c r="AA82" s="75" t="s">
        <v>103</v>
      </c>
      <c r="AB82" s="44">
        <v>0</v>
      </c>
    </row>
    <row r="83" spans="1:28" ht="15">
      <c r="A83" s="15">
        <f t="shared" si="16"/>
        <v>70</v>
      </c>
      <c r="B83" s="15" t="s">
        <v>285</v>
      </c>
      <c r="C83" s="16">
        <v>2022</v>
      </c>
      <c r="D83" s="75" t="s">
        <v>189</v>
      </c>
      <c r="E83" s="16" t="s">
        <v>220</v>
      </c>
      <c r="F83" s="17">
        <v>48</v>
      </c>
      <c r="G83" s="75" t="s">
        <v>102</v>
      </c>
      <c r="H83" s="75" t="s">
        <v>103</v>
      </c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Yes</v>
      </c>
      <c r="J83" s="37">
        <v>20556</v>
      </c>
      <c r="K83" s="38">
        <v>21956</v>
      </c>
      <c r="L83" s="36">
        <v>0.84</v>
      </c>
      <c r="M83" s="78">
        <f t="shared" si="17"/>
        <v>24471.428571428572</v>
      </c>
      <c r="N83" s="79">
        <f t="shared" si="18"/>
        <v>0.89720957384705191</v>
      </c>
      <c r="O83" s="80">
        <f t="shared" si="13"/>
        <v>-1400</v>
      </c>
      <c r="P83" s="19">
        <v>368</v>
      </c>
      <c r="Q83" s="19">
        <v>2642</v>
      </c>
      <c r="R83" s="81">
        <f t="shared" si="14"/>
        <v>3010</v>
      </c>
      <c r="S83" s="82">
        <f t="shared" si="19"/>
        <v>1.0457198443579767</v>
      </c>
      <c r="T83" s="83" t="s">
        <v>177</v>
      </c>
      <c r="U83" s="83" t="s">
        <v>153</v>
      </c>
      <c r="V83" s="83" t="s">
        <v>156</v>
      </c>
      <c r="W83" s="113">
        <f t="shared" si="15"/>
        <v>60</v>
      </c>
      <c r="AA83" s="75" t="s">
        <v>103</v>
      </c>
      <c r="AB83" s="44">
        <v>0</v>
      </c>
    </row>
    <row r="84" spans="1:28" ht="15">
      <c r="A84" s="15">
        <f t="shared" si="16"/>
        <v>71</v>
      </c>
      <c r="B84" s="15" t="s">
        <v>286</v>
      </c>
      <c r="C84" s="16">
        <v>2020</v>
      </c>
      <c r="D84" s="75" t="s">
        <v>190</v>
      </c>
      <c r="E84" s="16" t="s">
        <v>287</v>
      </c>
      <c r="F84" s="17">
        <v>67</v>
      </c>
      <c r="G84" s="75" t="s">
        <v>108</v>
      </c>
      <c r="H84" s="75" t="s">
        <v>103</v>
      </c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No</v>
      </c>
      <c r="J84" s="37">
        <v>19550</v>
      </c>
      <c r="K84" s="37">
        <v>19550</v>
      </c>
      <c r="L84" s="35">
        <v>0.8</v>
      </c>
      <c r="M84" s="78">
        <f t="shared" si="17"/>
        <v>24437.5</v>
      </c>
      <c r="N84" s="79">
        <f t="shared" si="18"/>
        <v>0.8</v>
      </c>
      <c r="O84" s="80">
        <f t="shared" si="13"/>
        <v>0</v>
      </c>
      <c r="P84" s="122">
        <v>-995</v>
      </c>
      <c r="Q84" s="19">
        <v>1076</v>
      </c>
      <c r="R84" s="81">
        <f t="shared" si="14"/>
        <v>81</v>
      </c>
      <c r="S84" s="82">
        <f t="shared" si="19"/>
        <v>2.1183931885958379E-2</v>
      </c>
      <c r="T84" s="83" t="s">
        <v>172</v>
      </c>
      <c r="U84" s="83" t="s">
        <v>153</v>
      </c>
      <c r="V84" s="83" t="s">
        <v>156</v>
      </c>
      <c r="W84" s="113">
        <f t="shared" si="15"/>
        <v>90</v>
      </c>
      <c r="AA84" s="75" t="s">
        <v>103</v>
      </c>
      <c r="AB84" s="44">
        <v>0</v>
      </c>
    </row>
    <row r="85" spans="1:28" ht="15">
      <c r="A85" s="15">
        <f t="shared" si="16"/>
        <v>72</v>
      </c>
      <c r="B85" s="15" t="s">
        <v>288</v>
      </c>
      <c r="C85" s="16">
        <v>2021</v>
      </c>
      <c r="D85" s="75" t="s">
        <v>189</v>
      </c>
      <c r="E85" s="16" t="s">
        <v>191</v>
      </c>
      <c r="F85" s="17">
        <v>63</v>
      </c>
      <c r="G85" s="75" t="s">
        <v>119</v>
      </c>
      <c r="H85" s="75" t="s">
        <v>103</v>
      </c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37">
        <v>31212</v>
      </c>
      <c r="K85" s="38">
        <v>31212</v>
      </c>
      <c r="L85" s="36">
        <v>0.8</v>
      </c>
      <c r="M85" s="78">
        <f t="shared" si="17"/>
        <v>39015</v>
      </c>
      <c r="N85" s="79">
        <f t="shared" si="18"/>
        <v>0.8</v>
      </c>
      <c r="O85" s="80">
        <f t="shared" si="13"/>
        <v>0</v>
      </c>
      <c r="P85" s="19">
        <v>-1397</v>
      </c>
      <c r="Q85" s="19">
        <v>350</v>
      </c>
      <c r="R85" s="81">
        <f t="shared" si="14"/>
        <v>-1047</v>
      </c>
      <c r="S85" s="82">
        <f t="shared" si="19"/>
        <v>-0.18347257330360153</v>
      </c>
      <c r="T85" s="83" t="s">
        <v>181</v>
      </c>
      <c r="U85" s="83" t="s">
        <v>153</v>
      </c>
      <c r="V85" s="83" t="s">
        <v>156</v>
      </c>
      <c r="W85" s="113">
        <f t="shared" si="15"/>
        <v>90</v>
      </c>
      <c r="AA85" s="75" t="s">
        <v>103</v>
      </c>
      <c r="AB85" s="44">
        <v>0</v>
      </c>
    </row>
    <row r="86" spans="1:28" ht="15">
      <c r="A86" s="15">
        <f t="shared" si="16"/>
        <v>73</v>
      </c>
      <c r="B86" s="15" t="s">
        <v>289</v>
      </c>
      <c r="C86" s="16">
        <v>2020</v>
      </c>
      <c r="D86" s="75" t="s">
        <v>189</v>
      </c>
      <c r="E86" s="16" t="s">
        <v>191</v>
      </c>
      <c r="F86" s="17">
        <v>22</v>
      </c>
      <c r="G86" s="75" t="s">
        <v>108</v>
      </c>
      <c r="H86" s="75" t="s">
        <v>103</v>
      </c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Yes</v>
      </c>
      <c r="J86" s="37">
        <v>27605</v>
      </c>
      <c r="K86" s="38">
        <v>27720</v>
      </c>
      <c r="L86" s="36">
        <v>0.97</v>
      </c>
      <c r="M86" s="78">
        <f t="shared" si="17"/>
        <v>28458.762886597939</v>
      </c>
      <c r="N86" s="79">
        <f t="shared" si="18"/>
        <v>0.97404093461329466</v>
      </c>
      <c r="O86" s="80">
        <f t="shared" si="13"/>
        <v>-115</v>
      </c>
      <c r="P86" s="19">
        <v>4173</v>
      </c>
      <c r="Q86" s="19">
        <v>3484</v>
      </c>
      <c r="R86" s="81">
        <f t="shared" si="14"/>
        <v>7657</v>
      </c>
      <c r="S86" s="82">
        <f t="shared" si="19"/>
        <v>5.3211179189010762</v>
      </c>
      <c r="T86" s="83" t="s">
        <v>177</v>
      </c>
      <c r="U86" s="83" t="s">
        <v>153</v>
      </c>
      <c r="V86" s="83" t="s">
        <v>156</v>
      </c>
      <c r="W86" s="113">
        <f t="shared" si="15"/>
        <v>30</v>
      </c>
      <c r="AA86" s="75" t="s">
        <v>107</v>
      </c>
      <c r="AB86" s="44">
        <v>1000</v>
      </c>
    </row>
    <row r="87" spans="1:28" ht="15">
      <c r="A87" s="15">
        <f t="shared" si="16"/>
        <v>74</v>
      </c>
      <c r="B87" s="15" t="s">
        <v>290</v>
      </c>
      <c r="C87" s="16">
        <v>2020</v>
      </c>
      <c r="D87" s="75" t="s">
        <v>291</v>
      </c>
      <c r="E87" s="16" t="s">
        <v>292</v>
      </c>
      <c r="F87" s="17">
        <v>37</v>
      </c>
      <c r="G87" s="75" t="s">
        <v>108</v>
      </c>
      <c r="H87" s="75" t="s">
        <v>103</v>
      </c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No</v>
      </c>
      <c r="J87" s="37">
        <v>23550</v>
      </c>
      <c r="K87" s="38">
        <v>23550</v>
      </c>
      <c r="L87" s="36">
        <v>0.87</v>
      </c>
      <c r="M87" s="78">
        <f t="shared" si="17"/>
        <v>27068.96551724138</v>
      </c>
      <c r="N87" s="79">
        <f t="shared" si="18"/>
        <v>0.87</v>
      </c>
      <c r="O87" s="80">
        <f t="shared" si="13"/>
        <v>0</v>
      </c>
      <c r="P87" s="19">
        <v>1304</v>
      </c>
      <c r="Q87" s="19">
        <v>4067</v>
      </c>
      <c r="R87" s="81">
        <f t="shared" si="14"/>
        <v>5371</v>
      </c>
      <c r="S87" s="82">
        <f t="shared" si="19"/>
        <v>2.3491134756081262</v>
      </c>
      <c r="T87" s="83" t="s">
        <v>179</v>
      </c>
      <c r="U87" s="83" t="s">
        <v>153</v>
      </c>
      <c r="V87" s="83" t="s">
        <v>157</v>
      </c>
      <c r="W87" s="113">
        <f t="shared" si="15"/>
        <v>45</v>
      </c>
      <c r="AA87" s="75" t="s">
        <v>107</v>
      </c>
      <c r="AB87" s="44">
        <v>2300</v>
      </c>
    </row>
    <row r="88" spans="1:28" ht="15">
      <c r="A88" s="15">
        <f t="shared" si="16"/>
        <v>75</v>
      </c>
      <c r="B88" s="15" t="s">
        <v>293</v>
      </c>
      <c r="C88" s="16">
        <v>2021</v>
      </c>
      <c r="D88" s="75" t="s">
        <v>190</v>
      </c>
      <c r="E88" s="16" t="s">
        <v>192</v>
      </c>
      <c r="F88" s="17">
        <v>15</v>
      </c>
      <c r="G88" s="75" t="s">
        <v>108</v>
      </c>
      <c r="H88" s="75" t="s">
        <v>103</v>
      </c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No</v>
      </c>
      <c r="J88" s="37">
        <v>26988</v>
      </c>
      <c r="K88" s="37">
        <v>23872</v>
      </c>
      <c r="L88" s="35">
        <v>1.02</v>
      </c>
      <c r="M88" s="78">
        <f t="shared" si="17"/>
        <v>26458.823529411766</v>
      </c>
      <c r="N88" s="79">
        <f t="shared" si="18"/>
        <v>0.90223210315695856</v>
      </c>
      <c r="O88" s="80">
        <f t="shared" si="13"/>
        <v>3116</v>
      </c>
      <c r="P88" s="19">
        <v>1091</v>
      </c>
      <c r="Q88" s="19">
        <v>2261</v>
      </c>
      <c r="R88" s="81">
        <f t="shared" si="14"/>
        <v>3352</v>
      </c>
      <c r="S88" s="82">
        <f t="shared" si="19"/>
        <v>3.5313638558447824</v>
      </c>
      <c r="T88" s="83" t="s">
        <v>176</v>
      </c>
      <c r="U88" s="83" t="s">
        <v>153</v>
      </c>
      <c r="V88" s="83" t="s">
        <v>157</v>
      </c>
      <c r="W88" s="113">
        <f t="shared" si="15"/>
        <v>30</v>
      </c>
      <c r="AA88" s="75" t="s">
        <v>103</v>
      </c>
      <c r="AB88" s="44">
        <v>0</v>
      </c>
    </row>
    <row r="89" spans="1:28" ht="15">
      <c r="A89" s="15">
        <f t="shared" si="16"/>
        <v>76</v>
      </c>
      <c r="B89" s="15" t="s">
        <v>294</v>
      </c>
      <c r="C89" s="16">
        <v>2020</v>
      </c>
      <c r="D89" s="75" t="s">
        <v>190</v>
      </c>
      <c r="E89" s="16" t="s">
        <v>287</v>
      </c>
      <c r="F89" s="17">
        <v>48</v>
      </c>
      <c r="G89" s="75" t="s">
        <v>108</v>
      </c>
      <c r="H89" s="75" t="s">
        <v>103</v>
      </c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No</v>
      </c>
      <c r="J89" s="37">
        <v>22671</v>
      </c>
      <c r="K89" s="38">
        <v>27120</v>
      </c>
      <c r="L89" s="36">
        <v>0.84</v>
      </c>
      <c r="M89" s="78">
        <f t="shared" si="17"/>
        <v>26989.285714285714</v>
      </c>
      <c r="N89" s="79">
        <f t="shared" si="18"/>
        <v>1.0048431917427552</v>
      </c>
      <c r="O89" s="80">
        <f t="shared" si="13"/>
        <v>-4449</v>
      </c>
      <c r="P89" s="19">
        <v>2312</v>
      </c>
      <c r="Q89" s="19">
        <v>824</v>
      </c>
      <c r="R89" s="81">
        <f t="shared" si="14"/>
        <v>3136</v>
      </c>
      <c r="S89" s="82">
        <f t="shared" si="19"/>
        <v>0.94808126410835225</v>
      </c>
      <c r="T89" s="83" t="s">
        <v>175</v>
      </c>
      <c r="U89" s="83" t="s">
        <v>152</v>
      </c>
      <c r="V89" s="83" t="s">
        <v>156</v>
      </c>
      <c r="W89" s="113">
        <f t="shared" si="15"/>
        <v>60</v>
      </c>
      <c r="AA89" s="75" t="s">
        <v>103</v>
      </c>
      <c r="AB89" s="44">
        <v>0</v>
      </c>
    </row>
    <row r="90" spans="1:28" ht="15">
      <c r="A90" s="15">
        <f t="shared" si="16"/>
        <v>77</v>
      </c>
      <c r="B90" s="15" t="s">
        <v>295</v>
      </c>
      <c r="C90" s="16">
        <v>2021</v>
      </c>
      <c r="D90" s="75" t="s">
        <v>189</v>
      </c>
      <c r="E90" s="16" t="s">
        <v>194</v>
      </c>
      <c r="F90" s="17">
        <v>39</v>
      </c>
      <c r="G90" s="75" t="s">
        <v>118</v>
      </c>
      <c r="H90" s="75" t="s">
        <v>103</v>
      </c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Yes</v>
      </c>
      <c r="J90" s="37">
        <v>20921</v>
      </c>
      <c r="K90" s="38">
        <v>20807</v>
      </c>
      <c r="L90" s="36">
        <v>0.87</v>
      </c>
      <c r="M90" s="78">
        <f t="shared" si="17"/>
        <v>24047.126436781611</v>
      </c>
      <c r="N90" s="79">
        <f t="shared" si="18"/>
        <v>0.86525930882844981</v>
      </c>
      <c r="O90" s="80">
        <f t="shared" si="13"/>
        <v>114</v>
      </c>
      <c r="P90" s="19">
        <v>-1454</v>
      </c>
      <c r="Q90" s="19">
        <v>0</v>
      </c>
      <c r="R90" s="81">
        <f t="shared" si="14"/>
        <v>-1454</v>
      </c>
      <c r="S90" s="82">
        <f t="shared" si="19"/>
        <v>-0.60291714035930366</v>
      </c>
      <c r="T90" s="83" t="s">
        <v>185</v>
      </c>
      <c r="U90" s="83" t="s">
        <v>152</v>
      </c>
      <c r="V90" s="83" t="s">
        <v>156</v>
      </c>
      <c r="W90" s="113">
        <f t="shared" si="15"/>
        <v>45</v>
      </c>
      <c r="AA90" s="75" t="s">
        <v>230</v>
      </c>
      <c r="AB90" s="44">
        <v>0</v>
      </c>
    </row>
    <row r="91" spans="1:28" ht="15">
      <c r="A91" s="15">
        <f t="shared" si="16"/>
        <v>78</v>
      </c>
      <c r="B91" s="15" t="s">
        <v>296</v>
      </c>
      <c r="C91" s="16">
        <v>2021</v>
      </c>
      <c r="D91" s="75" t="s">
        <v>6</v>
      </c>
      <c r="E91" s="16" t="s">
        <v>202</v>
      </c>
      <c r="F91" s="17">
        <v>59</v>
      </c>
      <c r="G91" s="75" t="s">
        <v>118</v>
      </c>
      <c r="H91" s="75" t="s">
        <v>103</v>
      </c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No</v>
      </c>
      <c r="J91" s="37">
        <v>16947</v>
      </c>
      <c r="K91" s="37">
        <v>16947</v>
      </c>
      <c r="L91" s="35">
        <v>0.82</v>
      </c>
      <c r="M91" s="78">
        <f t="shared" si="17"/>
        <v>20667.07317073171</v>
      </c>
      <c r="N91" s="79">
        <f t="shared" si="18"/>
        <v>0.81999999999999984</v>
      </c>
      <c r="O91" s="80">
        <f t="shared" si="13"/>
        <v>0</v>
      </c>
      <c r="P91" s="19">
        <v>-3688</v>
      </c>
      <c r="Q91" s="19">
        <v>982</v>
      </c>
      <c r="R91" s="81">
        <f t="shared" si="14"/>
        <v>-2706</v>
      </c>
      <c r="S91" s="82">
        <f t="shared" si="19"/>
        <v>-0.80015441922355046</v>
      </c>
      <c r="T91" s="83" t="s">
        <v>167</v>
      </c>
      <c r="U91" s="83" t="s">
        <v>152</v>
      </c>
      <c r="V91" s="83" t="s">
        <v>155</v>
      </c>
      <c r="W91" s="113">
        <f t="shared" si="15"/>
        <v>60</v>
      </c>
      <c r="AA91" s="75" t="s">
        <v>103</v>
      </c>
      <c r="AB91" s="44">
        <v>0</v>
      </c>
    </row>
    <row r="92" spans="1:28" ht="15">
      <c r="A92" s="15">
        <f t="shared" si="16"/>
        <v>79</v>
      </c>
      <c r="B92" s="15" t="s">
        <v>297</v>
      </c>
      <c r="C92" s="16">
        <v>2017</v>
      </c>
      <c r="D92" s="75" t="s">
        <v>273</v>
      </c>
      <c r="E92" s="16" t="s">
        <v>298</v>
      </c>
      <c r="F92" s="17">
        <v>48</v>
      </c>
      <c r="G92" s="75" t="s">
        <v>109</v>
      </c>
      <c r="H92" s="75" t="s">
        <v>103</v>
      </c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No</v>
      </c>
      <c r="J92" s="37">
        <v>27346</v>
      </c>
      <c r="K92" s="37">
        <v>27346</v>
      </c>
      <c r="L92" s="35">
        <v>0.84</v>
      </c>
      <c r="M92" s="78">
        <f t="shared" si="17"/>
        <v>32554.761904761905</v>
      </c>
      <c r="N92" s="79">
        <f t="shared" si="18"/>
        <v>0.84</v>
      </c>
      <c r="O92" s="80">
        <f t="shared" si="13"/>
        <v>0</v>
      </c>
      <c r="P92" s="19">
        <v>1830</v>
      </c>
      <c r="Q92" s="19">
        <v>1741</v>
      </c>
      <c r="R92" s="81">
        <f t="shared" si="14"/>
        <v>3571</v>
      </c>
      <c r="S92" s="82">
        <f t="shared" si="19"/>
        <v>1.0496355228092176</v>
      </c>
      <c r="T92" s="83" t="s">
        <v>185</v>
      </c>
      <c r="U92" s="83" t="s">
        <v>154</v>
      </c>
      <c r="V92" s="83" t="s">
        <v>155</v>
      </c>
      <c r="W92" s="113">
        <f t="shared" si="15"/>
        <v>60</v>
      </c>
      <c r="AA92" s="75" t="s">
        <v>103</v>
      </c>
      <c r="AB92" s="44">
        <v>0</v>
      </c>
    </row>
    <row r="93" spans="1:28" ht="15">
      <c r="A93" s="15">
        <f t="shared" si="16"/>
        <v>80</v>
      </c>
      <c r="B93" s="15" t="s">
        <v>299</v>
      </c>
      <c r="C93" s="16">
        <v>2022</v>
      </c>
      <c r="D93" s="75" t="s">
        <v>6</v>
      </c>
      <c r="E93" s="16" t="s">
        <v>202</v>
      </c>
      <c r="F93" s="17">
        <v>28</v>
      </c>
      <c r="G93" s="75" t="s">
        <v>102</v>
      </c>
      <c r="H93" s="75" t="s">
        <v>103</v>
      </c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No</v>
      </c>
      <c r="J93" s="37">
        <v>24864</v>
      </c>
      <c r="K93" s="37">
        <v>25500</v>
      </c>
      <c r="L93" s="35">
        <v>0.91</v>
      </c>
      <c r="M93" s="78">
        <f t="shared" si="17"/>
        <v>27323.076923076922</v>
      </c>
      <c r="N93" s="79">
        <f t="shared" si="18"/>
        <v>0.93327702702702708</v>
      </c>
      <c r="O93" s="80">
        <f t="shared" si="13"/>
        <v>-636</v>
      </c>
      <c r="P93" s="19">
        <v>2861</v>
      </c>
      <c r="Q93" s="19">
        <v>2438</v>
      </c>
      <c r="R93" s="81">
        <f t="shared" si="14"/>
        <v>5299</v>
      </c>
      <c r="S93" s="82">
        <f t="shared" si="19"/>
        <v>3.0094085427801582</v>
      </c>
      <c r="T93" s="83" t="s">
        <v>182</v>
      </c>
      <c r="U93" s="83" t="s">
        <v>152</v>
      </c>
      <c r="V93" s="83" t="s">
        <v>157</v>
      </c>
      <c r="W93" s="113">
        <f t="shared" si="15"/>
        <v>30</v>
      </c>
      <c r="AA93" s="75" t="s">
        <v>107</v>
      </c>
      <c r="AB93" s="44">
        <v>0</v>
      </c>
    </row>
    <row r="94" spans="1:28" ht="15">
      <c r="A94" s="15">
        <f t="shared" si="16"/>
        <v>81</v>
      </c>
      <c r="B94" s="15" t="s">
        <v>300</v>
      </c>
      <c r="C94" s="16">
        <v>2021</v>
      </c>
      <c r="D94" s="75" t="s">
        <v>189</v>
      </c>
      <c r="E94" s="16" t="s">
        <v>191</v>
      </c>
      <c r="F94" s="17">
        <v>55</v>
      </c>
      <c r="G94" s="75" t="s">
        <v>108</v>
      </c>
      <c r="H94" s="75" t="s">
        <v>103</v>
      </c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37">
        <v>24554</v>
      </c>
      <c r="K94" s="38">
        <v>28995</v>
      </c>
      <c r="L94" s="36">
        <v>0.84</v>
      </c>
      <c r="M94" s="78">
        <f t="shared" si="17"/>
        <v>29230.952380952382</v>
      </c>
      <c r="N94" s="79">
        <f t="shared" si="18"/>
        <v>0.99192799543862509</v>
      </c>
      <c r="O94" s="80">
        <f t="shared" si="13"/>
        <v>-4441</v>
      </c>
      <c r="P94" s="19">
        <v>4444</v>
      </c>
      <c r="Q94" s="19">
        <v>1000</v>
      </c>
      <c r="R94" s="81">
        <f t="shared" si="14"/>
        <v>5444</v>
      </c>
      <c r="S94" s="82">
        <f t="shared" si="19"/>
        <v>1.4514054232191986</v>
      </c>
      <c r="T94" s="83" t="s">
        <v>177</v>
      </c>
      <c r="U94" s="83" t="s">
        <v>152</v>
      </c>
      <c r="V94" s="83" t="s">
        <v>157</v>
      </c>
      <c r="W94" s="113">
        <f t="shared" si="15"/>
        <v>60</v>
      </c>
      <c r="AA94" s="75" t="s">
        <v>103</v>
      </c>
      <c r="AB94" s="44">
        <v>0</v>
      </c>
    </row>
    <row r="95" spans="1:28" ht="15">
      <c r="A95" s="15">
        <f t="shared" si="16"/>
        <v>82</v>
      </c>
      <c r="B95" s="15" t="s">
        <v>301</v>
      </c>
      <c r="C95" s="16">
        <v>2022</v>
      </c>
      <c r="D95" s="75" t="s">
        <v>189</v>
      </c>
      <c r="E95" s="16" t="s">
        <v>220</v>
      </c>
      <c r="F95" s="17">
        <v>39</v>
      </c>
      <c r="G95" s="123" t="s">
        <v>108</v>
      </c>
      <c r="H95" s="75" t="s">
        <v>103</v>
      </c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Yes</v>
      </c>
      <c r="J95" s="37">
        <v>24707</v>
      </c>
      <c r="K95" s="37">
        <v>24707</v>
      </c>
      <c r="L95" s="35">
        <v>0.87</v>
      </c>
      <c r="M95" s="78">
        <f t="shared" si="17"/>
        <v>28398.850574712644</v>
      </c>
      <c r="N95" s="79">
        <f t="shared" si="18"/>
        <v>0.87</v>
      </c>
      <c r="O95" s="80">
        <f t="shared" si="13"/>
        <v>0</v>
      </c>
      <c r="P95" s="19">
        <v>3880</v>
      </c>
      <c r="Q95" s="19">
        <v>3045</v>
      </c>
      <c r="R95" s="81">
        <f t="shared" si="14"/>
        <v>6925</v>
      </c>
      <c r="S95" s="82">
        <f t="shared" si="19"/>
        <v>3.0692407414931062</v>
      </c>
      <c r="T95" s="83" t="s">
        <v>167</v>
      </c>
      <c r="U95" s="83" t="s">
        <v>153</v>
      </c>
      <c r="V95" s="83" t="s">
        <v>155</v>
      </c>
      <c r="W95" s="113">
        <f t="shared" si="15"/>
        <v>45</v>
      </c>
      <c r="AA95" s="75" t="s">
        <v>103</v>
      </c>
      <c r="AB95" s="44">
        <v>0</v>
      </c>
    </row>
    <row r="96" spans="1:28" ht="15">
      <c r="A96" s="15">
        <f t="shared" si="16"/>
        <v>83</v>
      </c>
      <c r="B96" s="15" t="s">
        <v>302</v>
      </c>
      <c r="C96" s="16">
        <v>2021</v>
      </c>
      <c r="D96" s="75" t="s">
        <v>189</v>
      </c>
      <c r="E96" s="16" t="s">
        <v>194</v>
      </c>
      <c r="F96" s="17">
        <v>47</v>
      </c>
      <c r="G96" s="75" t="s">
        <v>108</v>
      </c>
      <c r="H96" s="75" t="s">
        <v>103</v>
      </c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37">
        <v>21982</v>
      </c>
      <c r="K96" s="38">
        <v>21982</v>
      </c>
      <c r="L96" s="36">
        <v>0.85</v>
      </c>
      <c r="M96" s="78">
        <f t="shared" si="17"/>
        <v>25861.176470588234</v>
      </c>
      <c r="N96" s="79">
        <f t="shared" si="18"/>
        <v>0.85000000000000009</v>
      </c>
      <c r="O96" s="80">
        <f t="shared" si="13"/>
        <v>0</v>
      </c>
      <c r="P96" s="19">
        <v>-1187</v>
      </c>
      <c r="Q96" s="19">
        <v>1892</v>
      </c>
      <c r="R96" s="81">
        <f t="shared" si="14"/>
        <v>705</v>
      </c>
      <c r="S96" s="82">
        <f t="shared" si="19"/>
        <v>0.23307005049851096</v>
      </c>
      <c r="T96" s="83" t="s">
        <v>170</v>
      </c>
      <c r="U96" s="83" t="s">
        <v>152</v>
      </c>
      <c r="V96" s="83" t="s">
        <v>155</v>
      </c>
      <c r="W96" s="113">
        <f t="shared" si="15"/>
        <v>60</v>
      </c>
      <c r="AA96" s="75" t="s">
        <v>103</v>
      </c>
      <c r="AB96" s="44">
        <v>0</v>
      </c>
    </row>
    <row r="97" spans="1:28" ht="15">
      <c r="A97" s="15">
        <f t="shared" si="16"/>
        <v>84</v>
      </c>
      <c r="B97" s="15" t="s">
        <v>303</v>
      </c>
      <c r="C97" s="16">
        <v>2022</v>
      </c>
      <c r="D97" s="75" t="s">
        <v>189</v>
      </c>
      <c r="E97" s="16" t="s">
        <v>191</v>
      </c>
      <c r="F97" s="17">
        <v>14</v>
      </c>
      <c r="G97" s="75" t="s">
        <v>108</v>
      </c>
      <c r="H97" s="75" t="s">
        <v>103</v>
      </c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Yes</v>
      </c>
      <c r="J97" s="37">
        <v>39988</v>
      </c>
      <c r="K97" s="38">
        <v>39998</v>
      </c>
      <c r="L97" s="36">
        <v>1.02</v>
      </c>
      <c r="M97" s="78">
        <f t="shared" si="17"/>
        <v>39203.921568627447</v>
      </c>
      <c r="N97" s="79">
        <f t="shared" si="18"/>
        <v>1.020255076522957</v>
      </c>
      <c r="O97" s="80">
        <f t="shared" si="13"/>
        <v>-10</v>
      </c>
      <c r="P97" s="19">
        <v>4055</v>
      </c>
      <c r="Q97" s="19">
        <v>3307</v>
      </c>
      <c r="R97" s="81">
        <f t="shared" si="14"/>
        <v>7362</v>
      </c>
      <c r="S97" s="82">
        <f t="shared" si="19"/>
        <v>5.2669107038525285</v>
      </c>
      <c r="T97" s="83" t="s">
        <v>179</v>
      </c>
      <c r="U97" s="83" t="s">
        <v>152</v>
      </c>
      <c r="V97" s="83" t="s">
        <v>155</v>
      </c>
      <c r="W97" s="113">
        <f t="shared" si="15"/>
        <v>30</v>
      </c>
      <c r="AA97" s="75" t="s">
        <v>107</v>
      </c>
      <c r="AB97" s="44">
        <v>2500</v>
      </c>
    </row>
    <row r="98" spans="1:28" ht="15">
      <c r="A98" s="15">
        <f t="shared" si="16"/>
        <v>85</v>
      </c>
      <c r="B98" s="15" t="s">
        <v>304</v>
      </c>
      <c r="C98" s="16">
        <v>2020</v>
      </c>
      <c r="D98" s="75" t="s">
        <v>189</v>
      </c>
      <c r="E98" s="16" t="s">
        <v>198</v>
      </c>
      <c r="F98" s="17">
        <v>34</v>
      </c>
      <c r="G98" s="75" t="s">
        <v>109</v>
      </c>
      <c r="H98" s="75" t="s">
        <v>103</v>
      </c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Yes</v>
      </c>
      <c r="J98" s="37">
        <v>26785</v>
      </c>
      <c r="K98" s="37">
        <v>26785</v>
      </c>
      <c r="L98" s="35">
        <v>0.87</v>
      </c>
      <c r="M98" s="78">
        <f t="shared" si="17"/>
        <v>30787.356321839081</v>
      </c>
      <c r="N98" s="79">
        <f t="shared" si="18"/>
        <v>0.87</v>
      </c>
      <c r="O98" s="80">
        <f t="shared" si="13"/>
        <v>0</v>
      </c>
      <c r="P98" s="19">
        <v>5494</v>
      </c>
      <c r="Q98" s="19">
        <v>252</v>
      </c>
      <c r="R98" s="81">
        <f t="shared" si="14"/>
        <v>5746</v>
      </c>
      <c r="S98" s="82">
        <f t="shared" si="19"/>
        <v>2.8575454417359452</v>
      </c>
      <c r="T98" s="83" t="s">
        <v>181</v>
      </c>
      <c r="U98" s="83" t="s">
        <v>152</v>
      </c>
      <c r="V98" s="83" t="s">
        <v>156</v>
      </c>
      <c r="W98" s="113">
        <f t="shared" si="15"/>
        <v>45</v>
      </c>
      <c r="AA98" s="75" t="s">
        <v>107</v>
      </c>
      <c r="AB98" s="44">
        <v>5000</v>
      </c>
    </row>
    <row r="99" spans="1:28" ht="15">
      <c r="A99" s="15">
        <f t="shared" si="16"/>
        <v>86</v>
      </c>
      <c r="B99" s="15" t="s">
        <v>305</v>
      </c>
      <c r="C99" s="16">
        <v>2020</v>
      </c>
      <c r="D99" s="75" t="s">
        <v>189</v>
      </c>
      <c r="E99" s="16" t="s">
        <v>271</v>
      </c>
      <c r="F99" s="17">
        <v>13</v>
      </c>
      <c r="G99" s="75" t="s">
        <v>102</v>
      </c>
      <c r="H99" s="75" t="s">
        <v>103</v>
      </c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37">
        <v>33572</v>
      </c>
      <c r="K99" s="38">
        <v>32900</v>
      </c>
      <c r="L99" s="36">
        <v>1.02</v>
      </c>
      <c r="M99" s="78">
        <f t="shared" si="17"/>
        <v>32913.725490196077</v>
      </c>
      <c r="N99" s="79">
        <f t="shared" si="18"/>
        <v>0.99958298582151794</v>
      </c>
      <c r="O99" s="80">
        <f t="shared" si="13"/>
        <v>672</v>
      </c>
      <c r="P99" s="19">
        <v>6554</v>
      </c>
      <c r="Q99" s="19">
        <v>4769</v>
      </c>
      <c r="R99" s="81">
        <f t="shared" si="14"/>
        <v>11323</v>
      </c>
      <c r="S99" s="82">
        <f t="shared" si="19"/>
        <v>11.901616943748577</v>
      </c>
      <c r="T99" s="83" t="s">
        <v>179</v>
      </c>
      <c r="U99" s="83" t="s">
        <v>153</v>
      </c>
      <c r="V99" s="83" t="s">
        <v>157</v>
      </c>
      <c r="W99" s="113">
        <f t="shared" si="15"/>
        <v>30</v>
      </c>
      <c r="AA99" s="75" t="s">
        <v>107</v>
      </c>
      <c r="AB99" s="44">
        <v>2000</v>
      </c>
    </row>
    <row r="100" spans="1:28" ht="15">
      <c r="A100" s="15">
        <f t="shared" si="16"/>
        <v>87</v>
      </c>
      <c r="B100" s="15" t="s">
        <v>306</v>
      </c>
      <c r="C100" s="16">
        <v>2021</v>
      </c>
      <c r="D100" s="75" t="s">
        <v>189</v>
      </c>
      <c r="E100" s="16" t="s">
        <v>198</v>
      </c>
      <c r="F100" s="17">
        <v>64</v>
      </c>
      <c r="G100" s="75" t="s">
        <v>102</v>
      </c>
      <c r="H100" s="75" t="s">
        <v>103</v>
      </c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Yes</v>
      </c>
      <c r="J100" s="37">
        <v>26100</v>
      </c>
      <c r="K100" s="38">
        <v>27010</v>
      </c>
      <c r="L100" s="36">
        <v>0.8</v>
      </c>
      <c r="M100" s="78">
        <f t="shared" si="17"/>
        <v>32625</v>
      </c>
      <c r="N100" s="79">
        <f t="shared" si="18"/>
        <v>0.8278927203065134</v>
      </c>
      <c r="O100" s="80">
        <f t="shared" si="13"/>
        <v>-910</v>
      </c>
      <c r="P100" s="19">
        <v>-85</v>
      </c>
      <c r="Q100" s="19">
        <v>1285</v>
      </c>
      <c r="R100" s="81">
        <f t="shared" si="14"/>
        <v>1200</v>
      </c>
      <c r="S100" s="82">
        <f t="shared" si="19"/>
        <v>0.24912345451190254</v>
      </c>
      <c r="T100" s="83" t="s">
        <v>164</v>
      </c>
      <c r="U100" s="83" t="s">
        <v>153</v>
      </c>
      <c r="V100" s="83" t="s">
        <v>157</v>
      </c>
      <c r="W100" s="113">
        <f t="shared" si="15"/>
        <v>90</v>
      </c>
      <c r="AA100" s="75" t="s">
        <v>103</v>
      </c>
      <c r="AB100" s="44">
        <v>0</v>
      </c>
    </row>
    <row r="101" spans="1:28" ht="15">
      <c r="A101" s="15">
        <f t="shared" si="16"/>
        <v>88</v>
      </c>
      <c r="B101" s="15" t="s">
        <v>307</v>
      </c>
      <c r="C101" s="16">
        <v>2018</v>
      </c>
      <c r="D101" s="75" t="s">
        <v>308</v>
      </c>
      <c r="E101" s="16" t="s">
        <v>309</v>
      </c>
      <c r="F101" s="17">
        <v>40</v>
      </c>
      <c r="G101" s="75" t="s">
        <v>109</v>
      </c>
      <c r="H101" s="75" t="s">
        <v>103</v>
      </c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No</v>
      </c>
      <c r="J101" s="37">
        <v>20143</v>
      </c>
      <c r="K101" s="38">
        <v>23095</v>
      </c>
      <c r="L101" s="36">
        <v>0.85</v>
      </c>
      <c r="M101" s="78">
        <f t="shared" si="17"/>
        <v>23697.647058823532</v>
      </c>
      <c r="N101" s="79">
        <f t="shared" si="18"/>
        <v>0.97456932929553686</v>
      </c>
      <c r="O101" s="80">
        <f t="shared" si="13"/>
        <v>-2952</v>
      </c>
      <c r="P101" s="19">
        <v>1815</v>
      </c>
      <c r="Q101" s="122">
        <v>5005</v>
      </c>
      <c r="R101" s="81">
        <f t="shared" si="14"/>
        <v>6820</v>
      </c>
      <c r="S101" s="82">
        <f t="shared" si="19"/>
        <v>2.8843984962406015</v>
      </c>
      <c r="T101" s="83" t="s">
        <v>173</v>
      </c>
      <c r="U101" s="83" t="s">
        <v>153</v>
      </c>
      <c r="V101" s="83" t="s">
        <v>157</v>
      </c>
      <c r="W101" s="113">
        <f t="shared" si="15"/>
        <v>45</v>
      </c>
      <c r="AA101" s="75" t="s">
        <v>103</v>
      </c>
      <c r="AB101" s="44">
        <v>0</v>
      </c>
    </row>
    <row r="102" spans="1:28" ht="15">
      <c r="A102" s="15">
        <f t="shared" si="16"/>
        <v>89</v>
      </c>
      <c r="B102" s="15" t="s">
        <v>310</v>
      </c>
      <c r="C102" s="16">
        <v>2018</v>
      </c>
      <c r="D102" s="75" t="s">
        <v>189</v>
      </c>
      <c r="E102" s="16" t="s">
        <v>198</v>
      </c>
      <c r="F102" s="17">
        <v>34</v>
      </c>
      <c r="G102" s="75" t="s">
        <v>102</v>
      </c>
      <c r="H102" s="75" t="s">
        <v>103</v>
      </c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Yes</v>
      </c>
      <c r="J102" s="37">
        <v>19082</v>
      </c>
      <c r="K102" s="37">
        <v>19082</v>
      </c>
      <c r="L102" s="35">
        <v>0.87</v>
      </c>
      <c r="M102" s="78">
        <f t="shared" si="17"/>
        <v>21933.333333333332</v>
      </c>
      <c r="N102" s="79">
        <f t="shared" si="18"/>
        <v>0.87</v>
      </c>
      <c r="O102" s="80">
        <f t="shared" si="13"/>
        <v>0</v>
      </c>
      <c r="P102" s="19">
        <v>-3995</v>
      </c>
      <c r="Q102" s="19">
        <v>2228</v>
      </c>
      <c r="R102" s="81">
        <f t="shared" si="14"/>
        <v>-1767</v>
      </c>
      <c r="S102" s="82">
        <f t="shared" si="19"/>
        <v>-0.81073847400900823</v>
      </c>
      <c r="T102" s="83" t="s">
        <v>159</v>
      </c>
      <c r="U102" s="83" t="s">
        <v>153</v>
      </c>
      <c r="V102" s="83" t="s">
        <v>155</v>
      </c>
      <c r="W102" s="113">
        <f t="shared" si="15"/>
        <v>45</v>
      </c>
      <c r="AA102" s="75" t="s">
        <v>107</v>
      </c>
      <c r="AB102" s="44">
        <v>-3000</v>
      </c>
    </row>
    <row r="103" spans="1:28" ht="15">
      <c r="A103" s="15">
        <f t="shared" si="16"/>
        <v>90</v>
      </c>
      <c r="B103" s="15" t="s">
        <v>311</v>
      </c>
      <c r="C103" s="16">
        <v>2019</v>
      </c>
      <c r="D103" s="75" t="s">
        <v>189</v>
      </c>
      <c r="E103" s="16" t="s">
        <v>200</v>
      </c>
      <c r="F103" s="17">
        <v>27</v>
      </c>
      <c r="G103" s="75" t="s">
        <v>108</v>
      </c>
      <c r="H103" s="75" t="s">
        <v>103</v>
      </c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Yes</v>
      </c>
      <c r="J103" s="37">
        <v>20588</v>
      </c>
      <c r="K103" s="124">
        <v>20705</v>
      </c>
      <c r="L103" s="36">
        <v>0.91</v>
      </c>
      <c r="M103" s="78">
        <f t="shared" si="17"/>
        <v>22624.175824175822</v>
      </c>
      <c r="N103" s="79">
        <f t="shared" si="18"/>
        <v>0.91517145910238984</v>
      </c>
      <c r="O103" s="80">
        <f t="shared" si="13"/>
        <v>-117</v>
      </c>
      <c r="P103" s="19">
        <v>3496</v>
      </c>
      <c r="Q103" s="19">
        <v>1152</v>
      </c>
      <c r="R103" s="81">
        <f t="shared" si="14"/>
        <v>4648</v>
      </c>
      <c r="S103" s="82">
        <f t="shared" si="19"/>
        <v>3.6012164177658978</v>
      </c>
      <c r="T103" s="83" t="s">
        <v>180</v>
      </c>
      <c r="U103" s="83" t="s">
        <v>152</v>
      </c>
      <c r="V103" s="83" t="s">
        <v>156</v>
      </c>
      <c r="W103" s="113">
        <f t="shared" si="15"/>
        <v>30</v>
      </c>
      <c r="AA103" s="75" t="s">
        <v>107</v>
      </c>
      <c r="AB103" s="44">
        <v>1500</v>
      </c>
    </row>
    <row r="104" spans="1:28" ht="15">
      <c r="A104" s="15">
        <f t="shared" si="16"/>
        <v>91</v>
      </c>
      <c r="B104" s="15" t="s">
        <v>312</v>
      </c>
      <c r="C104" s="16">
        <v>2019</v>
      </c>
      <c r="D104" s="75" t="s">
        <v>189</v>
      </c>
      <c r="E104" s="16" t="s">
        <v>194</v>
      </c>
      <c r="F104" s="17">
        <v>55</v>
      </c>
      <c r="G104" s="75" t="s">
        <v>102</v>
      </c>
      <c r="H104" s="75" t="s">
        <v>103</v>
      </c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Yes</v>
      </c>
      <c r="J104" s="37">
        <v>17549</v>
      </c>
      <c r="K104" s="37">
        <v>17549</v>
      </c>
      <c r="L104" s="35">
        <v>0.84</v>
      </c>
      <c r="M104" s="78">
        <f t="shared" si="17"/>
        <v>20891.666666666668</v>
      </c>
      <c r="N104" s="79">
        <f t="shared" si="18"/>
        <v>0.84</v>
      </c>
      <c r="O104" s="80">
        <f t="shared" si="13"/>
        <v>0</v>
      </c>
      <c r="P104" s="19">
        <v>1903</v>
      </c>
      <c r="Q104" s="19">
        <v>1895</v>
      </c>
      <c r="R104" s="81">
        <f t="shared" si="14"/>
        <v>3798</v>
      </c>
      <c r="S104" s="82">
        <f t="shared" si="19"/>
        <v>1.588881270844712</v>
      </c>
      <c r="T104" s="83" t="s">
        <v>159</v>
      </c>
      <c r="U104" s="83" t="s">
        <v>153</v>
      </c>
      <c r="V104" s="83" t="s">
        <v>155</v>
      </c>
      <c r="W104" s="113">
        <f t="shared" si="15"/>
        <v>60</v>
      </c>
      <c r="AA104" s="75" t="s">
        <v>103</v>
      </c>
      <c r="AB104" s="44">
        <v>0</v>
      </c>
    </row>
    <row r="105" spans="1:28" ht="15">
      <c r="A105" s="15">
        <f t="shared" si="16"/>
        <v>92</v>
      </c>
      <c r="B105" s="15" t="s">
        <v>313</v>
      </c>
      <c r="C105" s="16">
        <v>2021</v>
      </c>
      <c r="D105" s="75" t="s">
        <v>189</v>
      </c>
      <c r="E105" s="16" t="s">
        <v>220</v>
      </c>
      <c r="F105" s="17">
        <v>59</v>
      </c>
      <c r="G105" s="75" t="s">
        <v>108</v>
      </c>
      <c r="H105" s="75" t="s">
        <v>103</v>
      </c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Yes</v>
      </c>
      <c r="J105" s="37">
        <v>21599</v>
      </c>
      <c r="K105" s="37">
        <v>21599</v>
      </c>
      <c r="L105" s="35">
        <v>0.82</v>
      </c>
      <c r="M105" s="78">
        <f t="shared" si="17"/>
        <v>26340.243902439026</v>
      </c>
      <c r="N105" s="79">
        <f t="shared" si="18"/>
        <v>0.82</v>
      </c>
      <c r="O105" s="80">
        <f t="shared" si="13"/>
        <v>0</v>
      </c>
      <c r="P105" s="19">
        <v>-1491</v>
      </c>
      <c r="Q105" s="19">
        <v>1360</v>
      </c>
      <c r="R105" s="81">
        <f t="shared" si="14"/>
        <v>-131</v>
      </c>
      <c r="S105" s="82">
        <f t="shared" si="19"/>
        <v>-3.4617671455101993E-2</v>
      </c>
      <c r="T105" s="83" t="s">
        <v>183</v>
      </c>
      <c r="U105" s="83" t="s">
        <v>153</v>
      </c>
      <c r="V105" s="83" t="s">
        <v>156</v>
      </c>
      <c r="W105" s="113">
        <f t="shared" si="15"/>
        <v>60</v>
      </c>
      <c r="AA105" s="75" t="s">
        <v>103</v>
      </c>
      <c r="AB105" s="44">
        <v>0</v>
      </c>
    </row>
    <row r="106" spans="1:28" ht="15">
      <c r="A106" s="15">
        <f t="shared" si="16"/>
        <v>93</v>
      </c>
      <c r="B106" s="15" t="s">
        <v>314</v>
      </c>
      <c r="C106" s="16">
        <v>2021</v>
      </c>
      <c r="D106" s="75" t="s">
        <v>315</v>
      </c>
      <c r="E106" s="16" t="s">
        <v>316</v>
      </c>
      <c r="F106" s="17">
        <v>39</v>
      </c>
      <c r="G106" s="75" t="s">
        <v>118</v>
      </c>
      <c r="H106" s="75" t="s">
        <v>103</v>
      </c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No</v>
      </c>
      <c r="J106" s="37">
        <v>26372</v>
      </c>
      <c r="K106" s="37">
        <v>26372</v>
      </c>
      <c r="L106" s="35">
        <v>0.87</v>
      </c>
      <c r="M106" s="78">
        <f t="shared" si="17"/>
        <v>30312.643678160919</v>
      </c>
      <c r="N106" s="79">
        <f t="shared" si="18"/>
        <v>0.87</v>
      </c>
      <c r="O106" s="80">
        <f t="shared" si="13"/>
        <v>0</v>
      </c>
      <c r="P106" s="19">
        <v>-1416</v>
      </c>
      <c r="Q106" s="19">
        <v>834</v>
      </c>
      <c r="R106" s="81">
        <f t="shared" si="14"/>
        <v>-582</v>
      </c>
      <c r="S106" s="82">
        <f t="shared" si="19"/>
        <v>-0.19333193077255262</v>
      </c>
      <c r="T106" s="83" t="s">
        <v>170</v>
      </c>
      <c r="U106" s="83" t="s">
        <v>153</v>
      </c>
      <c r="V106" s="83" t="s">
        <v>156</v>
      </c>
      <c r="W106" s="113">
        <f t="shared" si="15"/>
        <v>45</v>
      </c>
      <c r="AA106" s="75" t="s">
        <v>103</v>
      </c>
      <c r="AB106" s="44">
        <v>0</v>
      </c>
    </row>
    <row r="107" spans="1:28" ht="15">
      <c r="A107" s="15">
        <f t="shared" si="16"/>
        <v>94</v>
      </c>
      <c r="B107" s="15" t="s">
        <v>317</v>
      </c>
      <c r="C107" s="16">
        <v>2021</v>
      </c>
      <c r="D107" s="75" t="s">
        <v>6</v>
      </c>
      <c r="E107" s="16" t="s">
        <v>240</v>
      </c>
      <c r="F107" s="17">
        <v>32</v>
      </c>
      <c r="G107" s="75" t="s">
        <v>119</v>
      </c>
      <c r="H107" s="75" t="s">
        <v>103</v>
      </c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No</v>
      </c>
      <c r="J107" s="37">
        <v>17158</v>
      </c>
      <c r="K107" s="37">
        <v>18830</v>
      </c>
      <c r="L107" s="35">
        <v>0.87</v>
      </c>
      <c r="M107" s="78">
        <f t="shared" si="17"/>
        <v>19721.839080459769</v>
      </c>
      <c r="N107" s="79">
        <f t="shared" si="18"/>
        <v>0.9547791117845903</v>
      </c>
      <c r="O107" s="80">
        <f t="shared" si="13"/>
        <v>-1672</v>
      </c>
      <c r="P107" s="19">
        <v>1682</v>
      </c>
      <c r="Q107" s="19">
        <v>367</v>
      </c>
      <c r="R107" s="81">
        <f t="shared" si="14"/>
        <v>2049</v>
      </c>
      <c r="S107" s="82">
        <f t="shared" si="19"/>
        <v>1.3442529741077676</v>
      </c>
      <c r="T107" s="83" t="s">
        <v>172</v>
      </c>
      <c r="U107" s="83" t="s">
        <v>153</v>
      </c>
      <c r="V107" s="83" t="s">
        <v>155</v>
      </c>
      <c r="W107" s="113">
        <f t="shared" si="15"/>
        <v>45</v>
      </c>
      <c r="AA107" s="75" t="s">
        <v>103</v>
      </c>
      <c r="AB107" s="44">
        <v>0</v>
      </c>
    </row>
    <row r="108" spans="1:28" ht="15">
      <c r="A108" s="15">
        <f t="shared" si="16"/>
        <v>95</v>
      </c>
      <c r="B108" s="15" t="s">
        <v>318</v>
      </c>
      <c r="C108" s="16">
        <v>2022</v>
      </c>
      <c r="D108" s="75" t="s">
        <v>189</v>
      </c>
      <c r="E108" s="16" t="s">
        <v>191</v>
      </c>
      <c r="F108" s="17">
        <v>34</v>
      </c>
      <c r="G108" s="75" t="s">
        <v>108</v>
      </c>
      <c r="H108" s="75" t="s">
        <v>103</v>
      </c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Yes</v>
      </c>
      <c r="J108" s="37">
        <v>26381</v>
      </c>
      <c r="K108" s="37">
        <v>23381</v>
      </c>
      <c r="L108" s="35">
        <v>0.87</v>
      </c>
      <c r="M108" s="78">
        <f t="shared" si="17"/>
        <v>30322.988505747126</v>
      </c>
      <c r="N108" s="79">
        <f t="shared" si="18"/>
        <v>0.7710651605322012</v>
      </c>
      <c r="O108" s="80">
        <f t="shared" si="13"/>
        <v>3000</v>
      </c>
      <c r="P108" s="19">
        <v>-945</v>
      </c>
      <c r="Q108" s="19">
        <v>23569</v>
      </c>
      <c r="R108" s="81">
        <f t="shared" si="14"/>
        <v>22624</v>
      </c>
      <c r="S108" s="82">
        <f t="shared" si="19"/>
        <v>9.8474157401182953</v>
      </c>
      <c r="T108" s="83" t="s">
        <v>173</v>
      </c>
      <c r="U108" s="83" t="s">
        <v>153</v>
      </c>
      <c r="V108" s="83" t="s">
        <v>157</v>
      </c>
      <c r="W108" s="113">
        <f t="shared" si="15"/>
        <v>45</v>
      </c>
      <c r="AA108" s="75" t="s">
        <v>107</v>
      </c>
      <c r="AB108" s="44">
        <v>-1500</v>
      </c>
    </row>
    <row r="109" spans="1:28" ht="15">
      <c r="A109" s="15">
        <f t="shared" si="16"/>
        <v>96</v>
      </c>
      <c r="B109" s="15" t="s">
        <v>319</v>
      </c>
      <c r="C109" s="16">
        <v>2020</v>
      </c>
      <c r="D109" s="75" t="s">
        <v>189</v>
      </c>
      <c r="E109" s="16" t="s">
        <v>191</v>
      </c>
      <c r="F109" s="17">
        <v>1</v>
      </c>
      <c r="G109" s="75" t="s">
        <v>116</v>
      </c>
      <c r="H109" s="75" t="s">
        <v>103</v>
      </c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Yes</v>
      </c>
      <c r="J109" s="37">
        <v>16275</v>
      </c>
      <c r="K109" s="37">
        <v>16275</v>
      </c>
      <c r="L109" s="35">
        <v>1.06</v>
      </c>
      <c r="M109" s="78">
        <f t="shared" si="17"/>
        <v>15353.773584905659</v>
      </c>
      <c r="N109" s="79">
        <f t="shared" si="18"/>
        <v>1.06</v>
      </c>
      <c r="O109" s="80">
        <f t="shared" si="13"/>
        <v>0</v>
      </c>
      <c r="P109" s="19">
        <v>1458</v>
      </c>
      <c r="Q109" s="19">
        <v>512</v>
      </c>
      <c r="R109" s="81">
        <f t="shared" si="14"/>
        <v>1970</v>
      </c>
      <c r="S109" s="82">
        <f t="shared" si="19"/>
        <v>47.863940068839845</v>
      </c>
      <c r="T109" s="83" t="s">
        <v>161</v>
      </c>
      <c r="U109" s="83" t="s">
        <v>152</v>
      </c>
      <c r="V109" s="83" t="s">
        <v>157</v>
      </c>
      <c r="W109" s="113">
        <f t="shared" ref="W109:W140" si="20">IF(AND(F109&gt;0,F109&lt;=30),30,IF(AND(F109&gt;=31,F109&lt;=45),45,IF(AND(F109&gt;=46,F109&lt;=60),60,IF(AND(F109&gt;=61,F109&lt;=90),90,IF(F109&gt;=91,91,0)))))</f>
        <v>30</v>
      </c>
      <c r="AA109" s="75" t="s">
        <v>103</v>
      </c>
      <c r="AB109" s="44">
        <v>0</v>
      </c>
    </row>
    <row r="110" spans="1:28" ht="15">
      <c r="A110" s="15">
        <f t="shared" si="16"/>
        <v>97</v>
      </c>
      <c r="B110" s="15" t="s">
        <v>320</v>
      </c>
      <c r="C110" s="16">
        <v>2020</v>
      </c>
      <c r="D110" s="75" t="s">
        <v>189</v>
      </c>
      <c r="E110" s="16" t="s">
        <v>191</v>
      </c>
      <c r="F110" s="17">
        <v>36</v>
      </c>
      <c r="G110" s="75" t="s">
        <v>102</v>
      </c>
      <c r="H110" s="75" t="s">
        <v>103</v>
      </c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Yes</v>
      </c>
      <c r="J110" s="37">
        <v>20764</v>
      </c>
      <c r="K110" s="37">
        <v>20764</v>
      </c>
      <c r="L110" s="35">
        <v>0.87</v>
      </c>
      <c r="M110" s="78">
        <f t="shared" si="17"/>
        <v>23866.666666666668</v>
      </c>
      <c r="N110" s="79">
        <f t="shared" si="18"/>
        <v>0.87</v>
      </c>
      <c r="O110" s="80">
        <f t="shared" si="13"/>
        <v>0</v>
      </c>
      <c r="P110" s="19">
        <v>1958</v>
      </c>
      <c r="Q110" s="19">
        <v>1315</v>
      </c>
      <c r="R110" s="81">
        <f t="shared" si="14"/>
        <v>3273</v>
      </c>
      <c r="S110" s="82">
        <f t="shared" si="19"/>
        <v>1.7404019993619058</v>
      </c>
      <c r="T110" s="83" t="s">
        <v>183</v>
      </c>
      <c r="U110" s="83" t="s">
        <v>152</v>
      </c>
      <c r="V110" s="83" t="s">
        <v>157</v>
      </c>
      <c r="W110" s="113">
        <f t="shared" si="20"/>
        <v>45</v>
      </c>
      <c r="AA110" s="75" t="s">
        <v>107</v>
      </c>
      <c r="AB110" s="44">
        <v>2500</v>
      </c>
    </row>
    <row r="111" spans="1:28" ht="15">
      <c r="A111" s="15">
        <f t="shared" si="16"/>
        <v>98</v>
      </c>
      <c r="B111" s="15" t="s">
        <v>321</v>
      </c>
      <c r="C111" s="16">
        <v>2021</v>
      </c>
      <c r="D111" s="75" t="s">
        <v>189</v>
      </c>
      <c r="E111" s="16" t="s">
        <v>322</v>
      </c>
      <c r="F111" s="17">
        <v>27</v>
      </c>
      <c r="G111" s="75" t="s">
        <v>108</v>
      </c>
      <c r="H111" s="75" t="s">
        <v>103</v>
      </c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Yes</v>
      </c>
      <c r="J111" s="37">
        <v>33539</v>
      </c>
      <c r="K111" s="37">
        <v>33539</v>
      </c>
      <c r="L111" s="35">
        <v>0.91</v>
      </c>
      <c r="M111" s="78">
        <f t="shared" si="17"/>
        <v>36856.043956043955</v>
      </c>
      <c r="N111" s="79">
        <f t="shared" si="18"/>
        <v>0.91</v>
      </c>
      <c r="O111" s="80">
        <f t="shared" si="13"/>
        <v>0</v>
      </c>
      <c r="P111" s="19">
        <v>1702</v>
      </c>
      <c r="Q111" s="19">
        <v>1341</v>
      </c>
      <c r="R111" s="81">
        <f t="shared" si="14"/>
        <v>3043</v>
      </c>
      <c r="S111" s="82">
        <f t="shared" si="19"/>
        <v>1.2744081833506089</v>
      </c>
      <c r="T111" s="83" t="s">
        <v>164</v>
      </c>
      <c r="U111" s="83" t="s">
        <v>152</v>
      </c>
      <c r="V111" s="83" t="s">
        <v>156</v>
      </c>
      <c r="W111" s="113">
        <f t="shared" si="20"/>
        <v>30</v>
      </c>
      <c r="AA111" s="75" t="s">
        <v>107</v>
      </c>
      <c r="AB111" s="44">
        <v>2000</v>
      </c>
    </row>
    <row r="112" spans="1:28" ht="15">
      <c r="A112" s="15">
        <f t="shared" si="16"/>
        <v>99</v>
      </c>
      <c r="B112" s="15" t="s">
        <v>323</v>
      </c>
      <c r="C112" s="16">
        <v>2022</v>
      </c>
      <c r="D112" s="75" t="s">
        <v>190</v>
      </c>
      <c r="E112" s="16" t="s">
        <v>238</v>
      </c>
      <c r="F112" s="17">
        <v>12</v>
      </c>
      <c r="G112" s="75" t="s">
        <v>108</v>
      </c>
      <c r="H112" s="75" t="s">
        <v>103</v>
      </c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No</v>
      </c>
      <c r="J112" s="37">
        <v>28751</v>
      </c>
      <c r="K112" s="37">
        <v>28751</v>
      </c>
      <c r="L112" s="35">
        <v>1.02</v>
      </c>
      <c r="M112" s="78">
        <f t="shared" si="17"/>
        <v>28187.254901960783</v>
      </c>
      <c r="N112" s="79">
        <f t="shared" si="18"/>
        <v>1.02</v>
      </c>
      <c r="O112" s="80">
        <f t="shared" si="13"/>
        <v>0</v>
      </c>
      <c r="P112" s="19">
        <v>6086</v>
      </c>
      <c r="Q112" s="19">
        <v>3612</v>
      </c>
      <c r="R112" s="81">
        <f t="shared" si="14"/>
        <v>9698</v>
      </c>
      <c r="S112" s="82">
        <f t="shared" si="19"/>
        <v>12.83653209794838</v>
      </c>
      <c r="T112" s="83" t="s">
        <v>179</v>
      </c>
      <c r="U112" s="83" t="s">
        <v>152</v>
      </c>
      <c r="V112" s="83" t="s">
        <v>156</v>
      </c>
      <c r="W112" s="113">
        <f t="shared" si="20"/>
        <v>30</v>
      </c>
      <c r="AA112" s="75" t="s">
        <v>103</v>
      </c>
      <c r="AB112" s="44">
        <v>0</v>
      </c>
    </row>
    <row r="113" spans="1:28" ht="15">
      <c r="A113" s="15">
        <f t="shared" si="16"/>
        <v>100</v>
      </c>
      <c r="B113" s="15" t="s">
        <v>324</v>
      </c>
      <c r="C113" s="16">
        <v>2020</v>
      </c>
      <c r="D113" s="75" t="s">
        <v>189</v>
      </c>
      <c r="E113" s="16" t="s">
        <v>191</v>
      </c>
      <c r="F113" s="17">
        <v>6</v>
      </c>
      <c r="G113" s="75" t="s">
        <v>102</v>
      </c>
      <c r="H113" s="75" t="s">
        <v>103</v>
      </c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Yes</v>
      </c>
      <c r="J113" s="37">
        <v>26523</v>
      </c>
      <c r="K113" s="37">
        <v>26523</v>
      </c>
      <c r="L113" s="35">
        <v>1.06</v>
      </c>
      <c r="M113" s="78">
        <f t="shared" si="17"/>
        <v>25021.698113207545</v>
      </c>
      <c r="N113" s="79">
        <f t="shared" si="18"/>
        <v>1.06</v>
      </c>
      <c r="O113" s="80">
        <f t="shared" si="13"/>
        <v>0</v>
      </c>
      <c r="P113" s="19">
        <v>3005</v>
      </c>
      <c r="Q113" s="19">
        <v>2487</v>
      </c>
      <c r="R113" s="81">
        <f t="shared" si="14"/>
        <v>5492</v>
      </c>
      <c r="S113" s="82">
        <f t="shared" si="19"/>
        <v>14.011395526830514</v>
      </c>
      <c r="T113" s="83" t="s">
        <v>161</v>
      </c>
      <c r="U113" s="83" t="s">
        <v>152</v>
      </c>
      <c r="V113" s="83" t="s">
        <v>157</v>
      </c>
      <c r="W113" s="113">
        <f t="shared" si="20"/>
        <v>30</v>
      </c>
      <c r="AA113" s="75" t="s">
        <v>107</v>
      </c>
      <c r="AB113" s="44">
        <v>0</v>
      </c>
    </row>
    <row r="114" spans="1:28" ht="15">
      <c r="A114" s="15">
        <f t="shared" si="16"/>
        <v>101</v>
      </c>
      <c r="B114" s="15" t="s">
        <v>325</v>
      </c>
      <c r="C114" s="16">
        <v>2022</v>
      </c>
      <c r="D114" s="75" t="s">
        <v>190</v>
      </c>
      <c r="E114" s="16" t="s">
        <v>238</v>
      </c>
      <c r="F114" s="17">
        <v>5</v>
      </c>
      <c r="G114" s="75" t="s">
        <v>108</v>
      </c>
      <c r="H114" s="75" t="s">
        <v>103</v>
      </c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No</v>
      </c>
      <c r="J114" s="37">
        <v>24345</v>
      </c>
      <c r="K114" s="37">
        <v>23468</v>
      </c>
      <c r="L114" s="35">
        <v>1.06</v>
      </c>
      <c r="M114" s="78">
        <f t="shared" si="17"/>
        <v>22966.981132075471</v>
      </c>
      <c r="N114" s="79">
        <f t="shared" si="18"/>
        <v>1.0218147463544875</v>
      </c>
      <c r="O114" s="80">
        <f t="shared" si="13"/>
        <v>877</v>
      </c>
      <c r="P114" s="19">
        <v>3003</v>
      </c>
      <c r="Q114" s="19">
        <v>3853</v>
      </c>
      <c r="R114" s="81">
        <f t="shared" si="14"/>
        <v>6856</v>
      </c>
      <c r="S114" s="82">
        <f t="shared" si="19"/>
        <v>24.120791595406793</v>
      </c>
      <c r="T114" s="83" t="s">
        <v>174</v>
      </c>
      <c r="U114" s="83" t="s">
        <v>152</v>
      </c>
      <c r="V114" s="83" t="s">
        <v>156</v>
      </c>
      <c r="W114" s="113">
        <f t="shared" si="20"/>
        <v>30</v>
      </c>
      <c r="AA114" s="75" t="s">
        <v>103</v>
      </c>
      <c r="AB114" s="44">
        <v>0</v>
      </c>
    </row>
    <row r="115" spans="1:28" ht="15">
      <c r="A115" s="15">
        <f t="shared" si="16"/>
        <v>102</v>
      </c>
      <c r="B115" s="15" t="s">
        <v>326</v>
      </c>
      <c r="C115" s="16">
        <v>2018</v>
      </c>
      <c r="D115" s="75" t="s">
        <v>189</v>
      </c>
      <c r="E115" s="16" t="s">
        <v>220</v>
      </c>
      <c r="F115" s="17">
        <v>27</v>
      </c>
      <c r="G115" s="75" t="s">
        <v>108</v>
      </c>
      <c r="H115" s="75" t="s">
        <v>103</v>
      </c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Yes</v>
      </c>
      <c r="J115" s="37">
        <v>19160</v>
      </c>
      <c r="K115" s="37">
        <v>19160</v>
      </c>
      <c r="L115" s="35">
        <v>0.91</v>
      </c>
      <c r="M115" s="78">
        <f t="shared" si="17"/>
        <v>21054.945054945056</v>
      </c>
      <c r="N115" s="79">
        <f t="shared" si="18"/>
        <v>0.90999999999999992</v>
      </c>
      <c r="O115" s="80">
        <f t="shared" si="13"/>
        <v>0</v>
      </c>
      <c r="P115" s="19">
        <v>1363</v>
      </c>
      <c r="Q115" s="19">
        <v>4924</v>
      </c>
      <c r="R115" s="81">
        <f t="shared" si="14"/>
        <v>6287</v>
      </c>
      <c r="S115" s="82">
        <f t="shared" si="19"/>
        <v>4.7101571425895754</v>
      </c>
      <c r="T115" s="83" t="s">
        <v>177</v>
      </c>
      <c r="U115" s="83" t="s">
        <v>152</v>
      </c>
      <c r="V115" s="83" t="s">
        <v>156</v>
      </c>
      <c r="W115" s="113">
        <f t="shared" si="20"/>
        <v>30</v>
      </c>
      <c r="AA115" s="75" t="s">
        <v>103</v>
      </c>
      <c r="AB115" s="44">
        <v>0</v>
      </c>
    </row>
    <row r="116" spans="1:28" ht="15">
      <c r="A116" s="15">
        <f t="shared" si="16"/>
        <v>103</v>
      </c>
      <c r="B116" s="15" t="s">
        <v>327</v>
      </c>
      <c r="C116" s="16">
        <v>2021</v>
      </c>
      <c r="D116" s="75" t="s">
        <v>189</v>
      </c>
      <c r="E116" s="16" t="s">
        <v>191</v>
      </c>
      <c r="F116" s="17">
        <v>40</v>
      </c>
      <c r="G116" s="75" t="s">
        <v>108</v>
      </c>
      <c r="H116" s="75" t="s">
        <v>103</v>
      </c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Yes</v>
      </c>
      <c r="J116" s="37">
        <v>24600</v>
      </c>
      <c r="K116" s="37">
        <v>24600</v>
      </c>
      <c r="L116" s="35">
        <v>0.85</v>
      </c>
      <c r="M116" s="78">
        <f t="shared" si="17"/>
        <v>28941.176470588238</v>
      </c>
      <c r="N116" s="79">
        <f t="shared" si="18"/>
        <v>0.85</v>
      </c>
      <c r="O116" s="80">
        <f t="shared" si="13"/>
        <v>0</v>
      </c>
      <c r="P116" s="19">
        <v>-1090</v>
      </c>
      <c r="Q116" s="19">
        <v>1808</v>
      </c>
      <c r="R116" s="81">
        <f t="shared" si="14"/>
        <v>718</v>
      </c>
      <c r="S116" s="82">
        <f t="shared" si="19"/>
        <v>0.25153756325418453</v>
      </c>
      <c r="T116" s="83" t="s">
        <v>182</v>
      </c>
      <c r="U116" s="83" t="s">
        <v>153</v>
      </c>
      <c r="V116" s="83" t="s">
        <v>156</v>
      </c>
      <c r="W116" s="113">
        <f t="shared" si="20"/>
        <v>45</v>
      </c>
      <c r="AA116" s="75" t="s">
        <v>103</v>
      </c>
      <c r="AB116" s="44">
        <v>0</v>
      </c>
    </row>
    <row r="117" spans="1:28" ht="15">
      <c r="A117" s="15">
        <f t="shared" si="16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7"/>
        <v>#DIV/0!</v>
      </c>
      <c r="N117" s="79" t="e">
        <f t="shared" si="18"/>
        <v>#DIV/0!</v>
      </c>
      <c r="O117" s="80" t="str">
        <f t="shared" si="13"/>
        <v>BLANK</v>
      </c>
      <c r="P117" s="19"/>
      <c r="Q117" s="19"/>
      <c r="R117" s="81" t="str">
        <f t="shared" si="14"/>
        <v>BLANK</v>
      </c>
      <c r="S117" s="82" t="e">
        <f t="shared" si="19"/>
        <v>#VALUE!</v>
      </c>
      <c r="T117" s="83"/>
      <c r="U117" s="83"/>
      <c r="V117" s="83"/>
      <c r="W117" s="113">
        <f t="shared" si="20"/>
        <v>0</v>
      </c>
      <c r="AA117" s="75"/>
      <c r="AB117" s="44"/>
    </row>
    <row r="118" spans="1:28" ht="15">
      <c r="A118" s="15">
        <f t="shared" si="16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7"/>
        <v>#DIV/0!</v>
      </c>
      <c r="N118" s="79" t="e">
        <f t="shared" si="18"/>
        <v>#DIV/0!</v>
      </c>
      <c r="O118" s="80" t="str">
        <f t="shared" si="13"/>
        <v>BLANK</v>
      </c>
      <c r="P118" s="19"/>
      <c r="Q118" s="19"/>
      <c r="R118" s="81" t="str">
        <f t="shared" si="14"/>
        <v>BLANK</v>
      </c>
      <c r="S118" s="82" t="e">
        <f t="shared" si="19"/>
        <v>#VALUE!</v>
      </c>
      <c r="T118" s="83"/>
      <c r="U118" s="83"/>
      <c r="V118" s="83"/>
      <c r="W118" s="113">
        <f t="shared" si="20"/>
        <v>0</v>
      </c>
      <c r="AA118" s="75"/>
      <c r="AB118" s="44"/>
    </row>
    <row r="119" spans="1:28" ht="15">
      <c r="A119" s="15">
        <f t="shared" si="16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7"/>
        <v>#DIV/0!</v>
      </c>
      <c r="N119" s="79" t="e">
        <f t="shared" si="18"/>
        <v>#DIV/0!</v>
      </c>
      <c r="O119" s="80" t="str">
        <f t="shared" si="13"/>
        <v>BLANK</v>
      </c>
      <c r="P119" s="19"/>
      <c r="Q119" s="19"/>
      <c r="R119" s="81" t="str">
        <f t="shared" si="14"/>
        <v>BLANK</v>
      </c>
      <c r="S119" s="82" t="e">
        <f t="shared" si="19"/>
        <v>#VALUE!</v>
      </c>
      <c r="T119" s="83"/>
      <c r="U119" s="83"/>
      <c r="V119" s="83"/>
      <c r="W119" s="113">
        <f t="shared" si="20"/>
        <v>0</v>
      </c>
      <c r="AA119" s="75"/>
      <c r="AB119" s="44"/>
    </row>
    <row r="120" spans="1:28" ht="15">
      <c r="A120" s="15">
        <f t="shared" si="16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7"/>
        <v>#DIV/0!</v>
      </c>
      <c r="N120" s="79" t="e">
        <f t="shared" si="18"/>
        <v>#DIV/0!</v>
      </c>
      <c r="O120" s="80" t="str">
        <f t="shared" si="13"/>
        <v>BLANK</v>
      </c>
      <c r="P120" s="19"/>
      <c r="Q120" s="19"/>
      <c r="R120" s="81" t="str">
        <f t="shared" si="14"/>
        <v>BLANK</v>
      </c>
      <c r="S120" s="82" t="e">
        <f t="shared" si="19"/>
        <v>#VALUE!</v>
      </c>
      <c r="T120" s="83"/>
      <c r="U120" s="83"/>
      <c r="V120" s="83"/>
      <c r="W120" s="113">
        <f t="shared" si="20"/>
        <v>0</v>
      </c>
      <c r="AA120" s="75"/>
      <c r="AB120" s="44"/>
    </row>
    <row r="121" spans="1:28" ht="15">
      <c r="A121" s="15">
        <f t="shared" si="16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7"/>
        <v>#DIV/0!</v>
      </c>
      <c r="N121" s="79" t="e">
        <f t="shared" si="18"/>
        <v>#DIV/0!</v>
      </c>
      <c r="O121" s="80" t="str">
        <f t="shared" si="13"/>
        <v>BLANK</v>
      </c>
      <c r="P121" s="19"/>
      <c r="Q121" s="19"/>
      <c r="R121" s="81" t="str">
        <f t="shared" si="14"/>
        <v>BLANK</v>
      </c>
      <c r="S121" s="82" t="e">
        <f t="shared" si="19"/>
        <v>#VALUE!</v>
      </c>
      <c r="T121" s="83"/>
      <c r="U121" s="83"/>
      <c r="V121" s="83"/>
      <c r="W121" s="113">
        <f t="shared" si="20"/>
        <v>0</v>
      </c>
      <c r="AA121" s="75"/>
      <c r="AB121" s="44"/>
    </row>
    <row r="122" spans="1:28" ht="15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5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5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5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5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5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5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5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5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5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5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5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5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5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5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5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5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5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5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5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5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5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5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5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5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5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5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5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5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5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5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5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5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5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5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5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5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5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5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5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5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5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5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5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5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5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5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5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5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5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5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5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5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5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5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5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7" thickBot="1">
      <c r="A214" s="85" t="s">
        <v>120</v>
      </c>
      <c r="B214" s="86"/>
      <c r="C214" s="87"/>
      <c r="D214" s="88">
        <f>COUNTA(D14:D213)</f>
        <v>103</v>
      </c>
      <c r="E214" s="89" t="s">
        <v>121</v>
      </c>
      <c r="F214" s="90">
        <f>AVERAGE(F14:F213)</f>
        <v>37.291262135922331</v>
      </c>
      <c r="G214" s="91"/>
      <c r="H214" s="91"/>
      <c r="I214" s="92">
        <f>COUNTIF(I14:I213,"No")</f>
        <v>34</v>
      </c>
      <c r="J214" s="93">
        <f>AVERAGEIF(J14:J213,"&lt;&gt;BLANK")</f>
        <v>23967.126213592233</v>
      </c>
      <c r="K214" s="94">
        <f>AVERAGEIF(K14:K213,"&lt;&gt;BLANK")</f>
        <v>24154.252427184467</v>
      </c>
      <c r="L214" s="95">
        <f>AVERAGEIF(L14:L213,"&lt;&gt;BLANK")</f>
        <v>0.89892156862745098</v>
      </c>
      <c r="M214" s="94">
        <f>J214/L214</f>
        <v>26662.088273382135</v>
      </c>
      <c r="N214" s="96">
        <f t="shared" ref="N214" si="36">K214/M214</f>
        <v>0.90594000663101304</v>
      </c>
      <c r="O214" s="94">
        <f>AVERAGEIF(O14:O213,"&lt;&gt;BLANK")</f>
        <v>-187.126213592233</v>
      </c>
      <c r="P214" s="94">
        <f>AVERAGEIF(P14:P213,"&lt;&gt;BLANK")</f>
        <v>849.495145631068</v>
      </c>
      <c r="Q214" s="94">
        <f>AVERAGEIF(Q14:Q213,"&lt;&gt;BLANK")</f>
        <v>2359.3592233009708</v>
      </c>
      <c r="R214" s="97">
        <f>AVERAGEIF(R14:R213,"&lt;&gt;BLANK")</f>
        <v>3208.8543689320391</v>
      </c>
      <c r="S214" s="97" t="e">
        <f>AVERAGEIF(S14:S213,"&lt;&gt;BLANK")</f>
        <v>#VALUE!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28</v>
      </c>
      <c r="AB214" s="101">
        <f>AVERAGEIF(AB14:AB213,"&lt;&gt;BLANK")</f>
        <v>277.99029126213594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baseColWidth="10" defaultColWidth="8.83203125" defaultRowHeight="15"/>
  <cols>
    <col min="1" max="1" width="36.5" customWidth="1"/>
    <col min="2" max="2" width="11.5" bestFit="1" customWidth="1"/>
    <col min="3" max="3" width="9" customWidth="1"/>
  </cols>
  <sheetData>
    <row r="1" spans="1:2" ht="22.5" customHeight="1">
      <c r="A1" s="33" t="s">
        <v>122</v>
      </c>
    </row>
    <row r="2" spans="1:2" ht="22.5" customHeight="1">
      <c r="A2" s="5" t="s">
        <v>123</v>
      </c>
      <c r="B2" s="14">
        <f>'Sales Log'!I214/'Scoreboard Total'!B3</f>
        <v>0.3300970873786408</v>
      </c>
    </row>
    <row r="3" spans="1:2" ht="22.5" customHeight="1">
      <c r="A3" s="5" t="s">
        <v>124</v>
      </c>
      <c r="B3" s="6">
        <f>'Sales Log'!D214</f>
        <v>103</v>
      </c>
    </row>
    <row r="4" spans="1:2" ht="21.75" customHeight="1">
      <c r="A4" s="5" t="s">
        <v>125</v>
      </c>
      <c r="B4" s="7">
        <f>'Sales Log'!$F$214</f>
        <v>37.291262135922331</v>
      </c>
    </row>
    <row r="5" spans="1:2" ht="22.5" customHeight="1">
      <c r="A5" s="5" t="s">
        <v>126</v>
      </c>
      <c r="B5" s="8">
        <f>'Sales Log'!$J$214</f>
        <v>23967.126213592233</v>
      </c>
    </row>
    <row r="6" spans="1:2" ht="22.5" customHeight="1">
      <c r="A6" s="5" t="s">
        <v>127</v>
      </c>
      <c r="B6" s="8">
        <f>'Sales Log'!$K$214</f>
        <v>24154.252427184467</v>
      </c>
    </row>
    <row r="7" spans="1:2" ht="22.5" customHeight="1">
      <c r="A7" s="5" t="s">
        <v>128</v>
      </c>
      <c r="B7" s="8">
        <f>'Sales Log'!$M$214</f>
        <v>26662.088273382135</v>
      </c>
    </row>
    <row r="8" spans="1:2" ht="22.5" customHeight="1">
      <c r="A8" s="5" t="s">
        <v>129</v>
      </c>
      <c r="B8" s="9">
        <f>'Sales Log'!L214</f>
        <v>0.89892156862745098</v>
      </c>
    </row>
    <row r="9" spans="1:2" ht="22.5" customHeight="1">
      <c r="A9" s="5" t="s">
        <v>130</v>
      </c>
      <c r="B9" s="9">
        <f>'Sales Log'!$N$214</f>
        <v>0.90594000663101304</v>
      </c>
    </row>
    <row r="10" spans="1:2" ht="22.5" customHeight="1">
      <c r="A10" s="5" t="s">
        <v>131</v>
      </c>
      <c r="B10" s="8">
        <f>'Sales Log'!$O$214</f>
        <v>-187.126213592233</v>
      </c>
    </row>
    <row r="11" spans="1:2" ht="22.5" customHeight="1">
      <c r="A11" s="5" t="s">
        <v>132</v>
      </c>
      <c r="B11" s="8">
        <f>'Sales Log'!$P$214</f>
        <v>849.495145631068</v>
      </c>
    </row>
    <row r="12" spans="1:2" ht="22.5" customHeight="1">
      <c r="A12" s="5" t="s">
        <v>133</v>
      </c>
      <c r="B12" s="8">
        <f>'Sales Log'!$Q$214</f>
        <v>2359.3592233009708</v>
      </c>
    </row>
    <row r="13" spans="1:2" ht="22.5" customHeight="1">
      <c r="A13" s="5" t="s">
        <v>134</v>
      </c>
      <c r="B13" s="8">
        <f>'Sales Log'!$R$214</f>
        <v>3208.8543689320391</v>
      </c>
    </row>
    <row r="14" spans="1:2" ht="21.75" customHeight="1">
      <c r="A14" s="5" t="s">
        <v>135</v>
      </c>
      <c r="B14" s="10">
        <f>B13*B3</f>
        <v>330512</v>
      </c>
    </row>
    <row r="15" spans="1:2" ht="21.75" customHeight="1">
      <c r="A15" s="5" t="s">
        <v>89</v>
      </c>
      <c r="B15" s="9">
        <f>(B13/(B6)*(360/B4))</f>
        <v>1.2824836145747567</v>
      </c>
    </row>
    <row r="16" spans="1:2" ht="21.75" customHeight="1">
      <c r="A16" s="5" t="s">
        <v>136</v>
      </c>
      <c r="B16" s="9">
        <f>'Sales Log'!AA214/'Scoreboard Total'!B3</f>
        <v>0.27184466019417475</v>
      </c>
    </row>
    <row r="17" spans="1:2" ht="21.75" customHeight="1">
      <c r="A17" s="5" t="s">
        <v>137</v>
      </c>
      <c r="B17" s="45">
        <f>'Sales Log'!$AB$214</f>
        <v>277.99029126213594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B1" activePane="topRight" state="frozen"/>
      <selection pane="topRight" activeCell="F2" sqref="F2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13" width="19.6640625" customWidth="1"/>
  </cols>
  <sheetData>
    <row r="1" spans="1:13" ht="22.5" customHeight="1">
      <c r="A1" s="20" t="s">
        <v>138</v>
      </c>
      <c r="B1" s="21"/>
      <c r="C1" s="43" t="s">
        <v>139</v>
      </c>
    </row>
    <row r="2" spans="1:13" ht="22.5" customHeight="1">
      <c r="A2" s="22" t="s">
        <v>91</v>
      </c>
      <c r="B2" s="22" t="s">
        <v>140</v>
      </c>
      <c r="C2" s="32" t="s">
        <v>153</v>
      </c>
      <c r="D2" s="32" t="s">
        <v>152</v>
      </c>
      <c r="E2" s="32" t="s">
        <v>154</v>
      </c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141</v>
      </c>
      <c r="B3" s="14">
        <f>COUNTIFS('Sales Log'!$I$14:$I$213,"No")/B4</f>
        <v>0.3300970873786408</v>
      </c>
      <c r="C3" s="14">
        <f>COUNTIFS('Sales Log'!$I$14:$I$213,"No",'Sales Log'!$U$14:$U$213,'Scoreboard DM'!C2)/C4</f>
        <v>0.36363636363636365</v>
      </c>
      <c r="D3" s="14">
        <f>COUNTIFS('Sales Log'!$I$14:$I$213,"No",'Sales Log'!$U$14:$U$213,'Scoreboard DM'!D2)/D4</f>
        <v>0.2982456140350877</v>
      </c>
      <c r="E3" s="14">
        <f>COUNTIFS('Sales Log'!$I$14:$I$213,"No",'Sales Log'!$U$14:$U$213,'Scoreboard DM'!E2)/E4</f>
        <v>0.5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124</v>
      </c>
      <c r="B4" s="6">
        <f>'Sales Log'!D214</f>
        <v>103</v>
      </c>
      <c r="C4" s="40">
        <f>COUNTIF('Sales Log'!$U$14:$U$213,C2)</f>
        <v>44</v>
      </c>
      <c r="D4" s="40">
        <f>COUNTIF('Sales Log'!$U$14:$U$213,D2)</f>
        <v>57</v>
      </c>
      <c r="E4" s="40">
        <f>COUNTIF('Sales Log'!$U$14:$U$213,E2)</f>
        <v>2</v>
      </c>
      <c r="F4" s="40">
        <f>COUNTIF('Sales Log'!$U$14:$U$213,F2)</f>
        <v>0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125</v>
      </c>
      <c r="B5" s="7">
        <f>'Sales Log'!$F$214</f>
        <v>37.291262135922331</v>
      </c>
      <c r="C5" s="24">
        <f ca="1">AVERAGEIF('Sales Log'!$U$14:$U$213,C2,'Sales Log'!$F$14:$F$209)</f>
        <v>37.43181818181818</v>
      </c>
      <c r="D5" s="24">
        <f ca="1">AVERAGEIF('Sales Log'!$U$14:$U$213,D2,'Sales Log'!$F$14:$F$209)</f>
        <v>37.070175438596493</v>
      </c>
      <c r="E5" s="24">
        <f ca="1">AVERAGEIF('Sales Log'!$U$14:$U$213,E2,'Sales Log'!$F$14:$F$209)</f>
        <v>40.5</v>
      </c>
      <c r="F5" s="24" t="e">
        <f ca="1">AVERAGEIF('Sales Log'!$U$14:$U$213,F2,'Sales Log'!$F$14:$F$209)</f>
        <v>#DIV/0!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126</v>
      </c>
      <c r="B6" s="8">
        <f>'Sales Log'!$J$214</f>
        <v>23967.126213592233</v>
      </c>
      <c r="C6" s="8">
        <f>AVERAGEIF('Sales Log'!$U$14:$U$213,C2,'Sales Log'!$J$14:$J$213)</f>
        <v>23458.68181818182</v>
      </c>
      <c r="D6" s="8">
        <f>AVERAGEIF('Sales Log'!$U$14:$U$213,D2,'Sales Log'!$J$14:$J$213)</f>
        <v>24216.140350877195</v>
      </c>
      <c r="E6" s="8">
        <f>AVERAGEIF('Sales Log'!$U$14:$U$213,E2,'Sales Log'!$J$14:$J$213)</f>
        <v>28056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127</v>
      </c>
      <c r="B7" s="8">
        <f>'Sales Log'!$K$214</f>
        <v>24154.252427184467</v>
      </c>
      <c r="C7" s="8">
        <f>AVERAGEIF('Sales Log'!$U$14:$U$213,C2,'Sales Log'!$K$14:$K$213)</f>
        <v>23945.93181818182</v>
      </c>
      <c r="D7" s="8">
        <f>AVERAGEIF('Sales Log'!$U$14:$U$213,D2,'Sales Log'!$K$14:$K$213)</f>
        <v>24178.157894736843</v>
      </c>
      <c r="E7" s="8">
        <f>AVERAGEIF('Sales Log'!$U$14:$U$213,E2,'Sales Log'!$K$14:$K$213)</f>
        <v>28056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128</v>
      </c>
      <c r="B8" s="8">
        <f>'Sales Log'!$M$214</f>
        <v>26662.088273382135</v>
      </c>
      <c r="C8" s="8">
        <f>AVERAGEIF('Sales Log'!$U$14:$U$213,C2,'Sales Log'!$M$14:$M$213)</f>
        <v>26233.284252525958</v>
      </c>
      <c r="D8" s="8" t="e">
        <f>AVERAGEIF('Sales Log'!$U$14:$U$213,D2,'Sales Log'!$M$14:$M$213)</f>
        <v>#VALUE!</v>
      </c>
      <c r="E8" s="8">
        <f>AVERAGEIF('Sales Log'!$U$14:$U$213,E2,'Sales Log'!$M$14:$M$213)</f>
        <v>32809.56486042693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129</v>
      </c>
      <c r="B9" s="9">
        <f>'Sales Log'!L214</f>
        <v>0.89892156862745098</v>
      </c>
      <c r="C9" s="14">
        <f>C6/C8</f>
        <v>0.89423350855976114</v>
      </c>
      <c r="D9" s="14" t="e">
        <f t="shared" ref="D9:M9" si="0">D6/D8</f>
        <v>#VALUE!</v>
      </c>
      <c r="E9" s="14">
        <f t="shared" si="0"/>
        <v>0.85511649177156823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130</v>
      </c>
      <c r="B10" s="9">
        <f>'Sales Log'!$N$214</f>
        <v>0.90594000663101304</v>
      </c>
      <c r="C10" s="14">
        <f>C7/C8</f>
        <v>0.9128072408957375</v>
      </c>
      <c r="D10" s="14" t="e">
        <f t="shared" ref="D10:M10" si="1">D7/D8</f>
        <v>#VALUE!</v>
      </c>
      <c r="E10" s="14">
        <f t="shared" si="1"/>
        <v>0.85511649177156823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131</v>
      </c>
      <c r="B11" s="8">
        <f>'Sales Log'!$O$214</f>
        <v>-187.126213592233</v>
      </c>
      <c r="C11" s="8">
        <f>AVERAGEIF('Sales Log'!$U$14:$U$213,C2,'Sales Log'!$O$14:$O$213)</f>
        <v>-487.25</v>
      </c>
      <c r="D11" s="8">
        <f>AVERAGEIF('Sales Log'!$U$14:$U$213,D2,'Sales Log'!$O$14:$O$213)</f>
        <v>37.982456140350877</v>
      </c>
      <c r="E11" s="8">
        <f>AVERAGEIF('Sales Log'!$U$14:$U$213,E2,'Sales Log'!$O$14:$O$213)</f>
        <v>0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132</v>
      </c>
      <c r="B12" s="8">
        <f>'Sales Log'!$P$214</f>
        <v>849.495145631068</v>
      </c>
      <c r="C12" s="8">
        <f>AVERAGEIF('Sales Log'!$U$14:$U$213,C2,'Sales Log'!$P$14:$P$213)</f>
        <v>764.65909090909088</v>
      </c>
      <c r="D12" s="8">
        <f>AVERAGEIF('Sales Log'!$U$14:$U$213,D2,'Sales Log'!$P$14:$P$213)</f>
        <v>952.15789473684208</v>
      </c>
      <c r="E12" s="8">
        <f>AVERAGEIF('Sales Log'!$U$14:$U$213,E2,'Sales Log'!$P$14:$P$213)</f>
        <v>-210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133</v>
      </c>
      <c r="B13" s="8">
        <f>'Sales Log'!$Q$214</f>
        <v>2359.3592233009708</v>
      </c>
      <c r="C13" s="8">
        <f>AVERAGEIF('Sales Log'!$U$14:$U$213,C2,'Sales Log'!$Q$14:$Q$213)</f>
        <v>2487.1363636363635</v>
      </c>
      <c r="D13" s="8">
        <f>AVERAGEIF('Sales Log'!$U$14:$U$213,D2,'Sales Log'!$Q$14:$Q$213)</f>
        <v>2303.7894736842104</v>
      </c>
      <c r="E13" s="8">
        <f>AVERAGEIF('Sales Log'!$U$14:$U$213,E2,'Sales Log'!$Q$14:$Q$213)</f>
        <v>1132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134</v>
      </c>
      <c r="B14" s="8">
        <f>'Sales Log'!$R$214</f>
        <v>3208.8543689320391</v>
      </c>
      <c r="C14" s="8">
        <f>AVERAGEIF('Sales Log'!$U$14:$U$213,C2,'Sales Log'!$R$14:$R$213)</f>
        <v>3251.7954545454545</v>
      </c>
      <c r="D14" s="8">
        <f>AVERAGEIF('Sales Log'!$U$14:$U$213,D2,'Sales Log'!$R$14:$R$213)</f>
        <v>3255.9473684210525</v>
      </c>
      <c r="E14" s="8">
        <f>AVERAGEIF('Sales Log'!$U$14:$U$213,E2,'Sales Log'!$R$14:$R$213)</f>
        <v>922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5" customHeight="1">
      <c r="A15" s="5" t="s">
        <v>135</v>
      </c>
      <c r="B15" s="10">
        <f>B14*B4</f>
        <v>330512</v>
      </c>
      <c r="C15" s="10">
        <f>C14*C4</f>
        <v>143079</v>
      </c>
      <c r="D15" s="10">
        <f t="shared" ref="D15:F15" si="2">D14*D4</f>
        <v>185589</v>
      </c>
      <c r="E15" s="10">
        <f t="shared" si="2"/>
        <v>1844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89</v>
      </c>
      <c r="B16" s="9">
        <f>(B14/(B7)*(360/B5))</f>
        <v>1.2824836145747567</v>
      </c>
      <c r="C16" s="9">
        <f t="shared" ref="C16:M16" ca="1" si="5">(C14/(C7)*(360/C5))</f>
        <v>1.3060297088505757</v>
      </c>
      <c r="D16" s="9">
        <f t="shared" ca="1" si="5"/>
        <v>1.3077719738483877</v>
      </c>
      <c r="E16" s="9">
        <f t="shared" ca="1" si="5"/>
        <v>0.29211418432975317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136</v>
      </c>
      <c r="B17" s="9">
        <f>'Sales Log'!AA214/'Scoreboard Total'!B3</f>
        <v>0.27184466019417475</v>
      </c>
      <c r="C17" s="9">
        <f>COUNTIFS('Sales Log'!$U$14:$U$213,'Scoreboard DM'!C$2,'Sales Log'!$AA$14:$AA$213,"Yes")/C$4</f>
        <v>0.20454545454545456</v>
      </c>
      <c r="D17" s="9">
        <f>COUNTIFS('Sales Log'!$U$14:$U$213,'Scoreboard DM'!D$2,'Sales Log'!$AA$14:$AA$213,"Yes")/D$4</f>
        <v>0.33333333333333331</v>
      </c>
      <c r="E17" s="9">
        <f>COUNTIFS('Sales Log'!$U$14:$U$213,'Scoreboard DM'!E$2,'Sales Log'!$AA$14:$AA$213,"Yes")/E$4</f>
        <v>0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137</v>
      </c>
      <c r="B18" s="114">
        <f>'Sales Log'!$AB$214</f>
        <v>277.99029126213594</v>
      </c>
      <c r="C18" s="114">
        <f>AVERAGEIF('Sales Log'!$U$14:$U$213,C2,'Sales Log'!$AB$14:$AB$213)</f>
        <v>-11.363636363636363</v>
      </c>
      <c r="D18" s="114">
        <f>AVERAGEIF('Sales Log'!$U$14:$U$213,D2,'Sales Log'!$AB$14:$AB$213)</f>
        <v>511.10526315789474</v>
      </c>
      <c r="E18" s="114">
        <f>AVERAGEIF('Sales Log'!$U$14:$U$213,E2,'Sales Log'!$AB$14:$AB$213)</f>
        <v>0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O1" activePane="topRight" state="frozen"/>
      <selection pane="topRight" activeCell="X2" sqref="X2"/>
    </sheetView>
  </sheetViews>
  <sheetFormatPr baseColWidth="10" defaultColWidth="8.83203125" defaultRowHeight="15"/>
  <cols>
    <col min="1" max="1" width="37.5" customWidth="1"/>
    <col min="2" max="2" width="13.5" customWidth="1"/>
    <col min="3" max="12" width="19.6640625" customWidth="1"/>
    <col min="13" max="63" width="18.5" customWidth="1"/>
  </cols>
  <sheetData>
    <row r="1" spans="1:63" ht="22.5" customHeight="1" thickBot="1">
      <c r="A1" s="20" t="s">
        <v>138</v>
      </c>
      <c r="B1" s="21"/>
      <c r="C1" s="43" t="s">
        <v>139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142</v>
      </c>
      <c r="B2" s="22" t="s">
        <v>140</v>
      </c>
      <c r="C2" s="31" t="s">
        <v>5</v>
      </c>
      <c r="D2" s="31" t="s">
        <v>159</v>
      </c>
      <c r="E2" s="31" t="s">
        <v>161</v>
      </c>
      <c r="F2" s="31" t="s">
        <v>163</v>
      </c>
      <c r="G2" s="31" t="s">
        <v>164</v>
      </c>
      <c r="H2" s="31" t="s">
        <v>165</v>
      </c>
      <c r="I2" s="31" t="s">
        <v>167</v>
      </c>
      <c r="J2" s="31" t="s">
        <v>168</v>
      </c>
      <c r="K2" s="31" t="s">
        <v>170</v>
      </c>
      <c r="L2" s="31" t="s">
        <v>172</v>
      </c>
      <c r="M2" s="31" t="s">
        <v>173</v>
      </c>
      <c r="N2" s="31" t="s">
        <v>174</v>
      </c>
      <c r="O2" s="31" t="s">
        <v>175</v>
      </c>
      <c r="P2" s="31" t="s">
        <v>176</v>
      </c>
      <c r="Q2" s="31" t="s">
        <v>177</v>
      </c>
      <c r="R2" s="31" t="s">
        <v>179</v>
      </c>
      <c r="S2" s="31" t="s">
        <v>180</v>
      </c>
      <c r="T2" s="31" t="s">
        <v>181</v>
      </c>
      <c r="U2" s="31" t="s">
        <v>182</v>
      </c>
      <c r="V2" s="31" t="s">
        <v>183</v>
      </c>
      <c r="W2" s="31" t="s">
        <v>184</v>
      </c>
      <c r="X2" s="31" t="s">
        <v>185</v>
      </c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141</v>
      </c>
      <c r="B3" s="14">
        <f>COUNTIFS('Sales Log'!$I$14:$I$213,"No")/B4</f>
        <v>0.3300970873786408</v>
      </c>
      <c r="C3" s="14" t="e">
        <f>COUNTIFS('Sales Log'!$I$14:$I$213,"No",'Sales Log'!$T$14:$T$213,C2)/C4</f>
        <v>#DIV/0!</v>
      </c>
      <c r="D3" s="14">
        <f>COUNTIFS('Sales Log'!$I$14:$I$213,"No",'Sales Log'!$T$14:$T$213,D2)/D4</f>
        <v>0</v>
      </c>
      <c r="E3" s="14">
        <f>COUNTIFS('Sales Log'!$I$14:$I$213,"No",'Sales Log'!$T$14:$T$213,E2)/E4</f>
        <v>0.25</v>
      </c>
      <c r="F3" s="14">
        <f>COUNTIFS('Sales Log'!$I$14:$I$213,"No",'Sales Log'!$T$14:$T$213,F2)/F4</f>
        <v>0</v>
      </c>
      <c r="G3" s="14">
        <f>COUNTIFS('Sales Log'!$I$14:$I$213,"No",'Sales Log'!$T$14:$T$213,G2)/G4</f>
        <v>0.22222222222222221</v>
      </c>
      <c r="H3" s="14">
        <f>COUNTIFS('Sales Log'!$I$14:$I$213,"No",'Sales Log'!$T$14:$T$213,H2)/H4</f>
        <v>0</v>
      </c>
      <c r="I3" s="14">
        <f>COUNTIFS('Sales Log'!$I$14:$I$213,"No",'Sales Log'!$T$14:$T$213,I2)/I4</f>
        <v>0.16666666666666666</v>
      </c>
      <c r="J3" s="14">
        <f>COUNTIFS('Sales Log'!$I$14:$I$213,"No",'Sales Log'!$T$14:$T$213,J2)/J4</f>
        <v>0.66666666666666663</v>
      </c>
      <c r="K3" s="14">
        <f>COUNTIFS('Sales Log'!$I$14:$I$213,"No",'Sales Log'!$T$14:$T$213,K2)/K4</f>
        <v>0.2857142857142857</v>
      </c>
      <c r="L3" s="14">
        <f>COUNTIFS('Sales Log'!$I$14:$I$213,"No",'Sales Log'!$T$14:$T$213,L2)/L4</f>
        <v>1</v>
      </c>
      <c r="M3" s="14">
        <f>COUNTIFS('Sales Log'!$I$14:$I$213,"No",'Sales Log'!$T$14:$T$213,M2)/M4</f>
        <v>0.42857142857142855</v>
      </c>
      <c r="N3" s="14">
        <f>COUNTIFS('Sales Log'!$I$14:$I$213,"No",'Sales Log'!$T$14:$T$213,N2)/N4</f>
        <v>0.2</v>
      </c>
      <c r="O3" s="14">
        <f>COUNTIFS('Sales Log'!$I$14:$I$213,"No",'Sales Log'!$T$14:$T$213,O2)/O4</f>
        <v>0.4</v>
      </c>
      <c r="P3" s="14">
        <f>COUNTIFS('Sales Log'!$I$14:$I$213,"No",'Sales Log'!$T$14:$T$213,P2)/P4</f>
        <v>1</v>
      </c>
      <c r="Q3" s="14">
        <f>COUNTIFS('Sales Log'!$I$14:$I$213,"No",'Sales Log'!$T$14:$T$213,Q2)/Q4</f>
        <v>0</v>
      </c>
      <c r="R3" s="14">
        <f>COUNTIFS('Sales Log'!$I$14:$I$213,"No",'Sales Log'!$T$14:$T$213,R2)/R4</f>
        <v>0.44444444444444442</v>
      </c>
      <c r="S3" s="14">
        <f>COUNTIFS('Sales Log'!$I$14:$I$213,"No",'Sales Log'!$T$14:$T$213,S2)/S4</f>
        <v>0</v>
      </c>
      <c r="T3" s="14">
        <f>COUNTIFS('Sales Log'!$I$14:$I$213,"No",'Sales Log'!$T$14:$T$213,T2)/T4</f>
        <v>0.25</v>
      </c>
      <c r="U3" s="14">
        <f>COUNTIFS('Sales Log'!$I$14:$I$213,"No",'Sales Log'!$T$14:$T$213,U2)/U4</f>
        <v>0.5</v>
      </c>
      <c r="V3" s="14">
        <f>COUNTIFS('Sales Log'!$I$14:$I$213,"No",'Sales Log'!$T$14:$T$213,V2)/V4</f>
        <v>0.4</v>
      </c>
      <c r="W3" s="14">
        <f>COUNTIFS('Sales Log'!$I$14:$I$213,"No",'Sales Log'!$T$14:$T$213,W2)/W4</f>
        <v>0.5</v>
      </c>
      <c r="X3" s="14">
        <f>COUNTIFS('Sales Log'!$I$14:$I$213,"No",'Sales Log'!$T$14:$T$213,X2)/X4</f>
        <v>0.4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124</v>
      </c>
      <c r="B4" s="6">
        <f>'Scoreboard Total'!B3</f>
        <v>103</v>
      </c>
      <c r="C4" s="39">
        <f>COUNTIF('Sales Log'!$T$14:$T$213,C2)</f>
        <v>0</v>
      </c>
      <c r="D4" s="39">
        <f>COUNTIF('Sales Log'!$T$14:$T$213,D2)</f>
        <v>4</v>
      </c>
      <c r="E4" s="39">
        <f>COUNTIF('Sales Log'!$T$14:$T$213,E2)</f>
        <v>4</v>
      </c>
      <c r="F4" s="39">
        <f>COUNTIF('Sales Log'!$T$14:$T$213,F2)</f>
        <v>1</v>
      </c>
      <c r="G4" s="39">
        <f>COUNTIF('Sales Log'!$T$14:$T$213,G2)</f>
        <v>9</v>
      </c>
      <c r="H4" s="39">
        <f>COUNTIF('Sales Log'!$T$14:$T$213,H2)</f>
        <v>1</v>
      </c>
      <c r="I4" s="39">
        <f>COUNTIF('Sales Log'!$T$14:$T$213,I2)</f>
        <v>6</v>
      </c>
      <c r="J4" s="39">
        <f>COUNTIF('Sales Log'!$T$14:$T$213,J2)</f>
        <v>6</v>
      </c>
      <c r="K4" s="39">
        <f>COUNTIF('Sales Log'!$T$14:$T$213,K2)</f>
        <v>7</v>
      </c>
      <c r="L4" s="39">
        <f>COUNTIF('Sales Log'!$T$14:$T$213,L2)</f>
        <v>3</v>
      </c>
      <c r="M4" s="39">
        <f>COUNTIF('Sales Log'!$T$14:$T$213,M2)</f>
        <v>7</v>
      </c>
      <c r="N4" s="39">
        <f>COUNTIF('Sales Log'!$T$14:$T$213,N2)</f>
        <v>5</v>
      </c>
      <c r="O4" s="39">
        <f>COUNTIF('Sales Log'!$T$14:$T$213,O2)</f>
        <v>5</v>
      </c>
      <c r="P4" s="39">
        <f>COUNTIF('Sales Log'!$T$14:$T$213,P2)</f>
        <v>3</v>
      </c>
      <c r="Q4" s="39">
        <f>COUNTIF('Sales Log'!$T$14:$T$213,Q2)</f>
        <v>10</v>
      </c>
      <c r="R4" s="39">
        <f>COUNTIF('Sales Log'!$T$14:$T$213,R2)</f>
        <v>9</v>
      </c>
      <c r="S4" s="39">
        <f>COUNTIF('Sales Log'!$T$14:$T$213,S2)</f>
        <v>3</v>
      </c>
      <c r="T4" s="39">
        <f>COUNTIF('Sales Log'!$T$14:$T$213,T2)</f>
        <v>4</v>
      </c>
      <c r="U4" s="39">
        <f>COUNTIF('Sales Log'!$T$14:$T$213,U2)</f>
        <v>4</v>
      </c>
      <c r="V4" s="39">
        <f>COUNTIF('Sales Log'!$T$14:$T$213,V2)</f>
        <v>5</v>
      </c>
      <c r="W4" s="39">
        <f>COUNTIF('Sales Log'!$T$14:$T$213,W2)</f>
        <v>2</v>
      </c>
      <c r="X4" s="39">
        <f>COUNTIF('Sales Log'!$T$14:$T$213,X2)</f>
        <v>5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125</v>
      </c>
      <c r="B5" s="7">
        <f>'Sales Log'!$F$214</f>
        <v>37.291262135922331</v>
      </c>
      <c r="C5" s="24" t="e">
        <f ca="1">AVERAGEIF('Sales Log'!$T$14:$T$213,C2,'Sales Log'!$F$14:$F$209)</f>
        <v>#DIV/0!</v>
      </c>
      <c r="D5" s="24">
        <f ca="1">AVERAGEIF('Sales Log'!$T$14:$T$213,D2,'Sales Log'!$F$14:$F$209)</f>
        <v>62.25</v>
      </c>
      <c r="E5" s="24">
        <f ca="1">AVERAGEIF('Sales Log'!$T$14:$T$213,E2,'Sales Log'!$F$14:$F$209)</f>
        <v>6.5</v>
      </c>
      <c r="F5" s="24">
        <f ca="1">AVERAGEIF('Sales Log'!$T$14:$T$213,F2,'Sales Log'!$F$14:$F$209)</f>
        <v>12</v>
      </c>
      <c r="G5" s="24">
        <f ca="1">AVERAGEIF('Sales Log'!$T$14:$T$213,G2,'Sales Log'!$F$14:$F$209)</f>
        <v>48.444444444444443</v>
      </c>
      <c r="H5" s="24">
        <f ca="1">AVERAGEIF('Sales Log'!$T$14:$T$213,H2,'Sales Log'!$F$14:$F$209)</f>
        <v>63</v>
      </c>
      <c r="I5" s="24">
        <f ca="1">AVERAGEIF('Sales Log'!$T$14:$T$213,I2,'Sales Log'!$F$14:$F$209)</f>
        <v>41.666666666666664</v>
      </c>
      <c r="J5" s="24">
        <f ca="1">AVERAGEIF('Sales Log'!$T$14:$T$213,J2,'Sales Log'!$F$14:$F$209)</f>
        <v>39.166666666666664</v>
      </c>
      <c r="K5" s="24">
        <f ca="1">AVERAGEIF('Sales Log'!$T$14:$T$213,K2,'Sales Log'!$F$14:$F$209)</f>
        <v>38.571428571428569</v>
      </c>
      <c r="L5" s="24">
        <f ca="1">AVERAGEIF('Sales Log'!$T$14:$T$213,L2,'Sales Log'!$F$14:$F$209)</f>
        <v>39.333333333333336</v>
      </c>
      <c r="M5" s="24">
        <f ca="1">AVERAGEIF('Sales Log'!$T$14:$T$213,M2,'Sales Log'!$F$14:$F$209)</f>
        <v>35.714285714285715</v>
      </c>
      <c r="N5" s="24">
        <f ca="1">AVERAGEIF('Sales Log'!$T$14:$T$213,N2,'Sales Log'!$F$14:$F$209)</f>
        <v>16.399999999999999</v>
      </c>
      <c r="O5" s="24">
        <f ca="1">AVERAGEIF('Sales Log'!$T$14:$T$213,O2,'Sales Log'!$F$14:$F$209)</f>
        <v>40.6</v>
      </c>
      <c r="P5" s="24">
        <f ca="1">AVERAGEIF('Sales Log'!$T$14:$T$213,P2,'Sales Log'!$F$14:$F$209)</f>
        <v>19</v>
      </c>
      <c r="Q5" s="24">
        <f ca="1">AVERAGEIF('Sales Log'!$T$14:$T$213,Q2,'Sales Log'!$F$14:$F$209)</f>
        <v>37.799999999999997</v>
      </c>
      <c r="R5" s="24">
        <f ca="1">AVERAGEIF('Sales Log'!$T$14:$T$213,R2,'Sales Log'!$F$14:$F$209)</f>
        <v>32.222222222222221</v>
      </c>
      <c r="S5" s="24">
        <f ca="1">AVERAGEIF('Sales Log'!$T$14:$T$213,S2,'Sales Log'!$F$14:$F$209)</f>
        <v>37.666666666666664</v>
      </c>
      <c r="T5" s="24">
        <f ca="1">AVERAGEIF('Sales Log'!$T$14:$T$213,T2,'Sales Log'!$F$14:$F$209)</f>
        <v>61.25</v>
      </c>
      <c r="U5" s="24">
        <f ca="1">AVERAGEIF('Sales Log'!$T$14:$T$213,U2,'Sales Log'!$F$14:$F$209)</f>
        <v>37.5</v>
      </c>
      <c r="V5" s="24">
        <f ca="1">AVERAGEIF('Sales Log'!$T$14:$T$213,V2,'Sales Log'!$F$14:$F$209)</f>
        <v>26.8</v>
      </c>
      <c r="W5" s="24">
        <f ca="1">AVERAGEIF('Sales Log'!$T$14:$T$213,W2,'Sales Log'!$F$14:$F$209)</f>
        <v>33.5</v>
      </c>
      <c r="X5" s="24">
        <f ca="1">AVERAGEIF('Sales Log'!$T$14:$T$213,X2,'Sales Log'!$F$14:$F$209)</f>
        <v>42.6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126</v>
      </c>
      <c r="B6" s="8">
        <f>'Sales Log'!$J$214</f>
        <v>23967.126213592233</v>
      </c>
      <c r="C6" s="8" t="e">
        <f>AVERAGEIF('Sales Log'!$T$14:$T$213,C2,'Sales Log'!$J$14:$J$213)</f>
        <v>#DIV/0!</v>
      </c>
      <c r="D6" s="8">
        <f>AVERAGEIF('Sales Log'!$T$14:$T$213,D2,'Sales Log'!$J$14:$J$213)</f>
        <v>22438.75</v>
      </c>
      <c r="E6" s="8">
        <f>AVERAGEIF('Sales Log'!$T$14:$T$213,E2,'Sales Log'!$J$14:$J$213)</f>
        <v>21621.5</v>
      </c>
      <c r="F6" s="8">
        <f>AVERAGEIF('Sales Log'!$T$14:$T$213,F2,'Sales Log'!$J$14:$J$213)</f>
        <v>25704</v>
      </c>
      <c r="G6" s="8">
        <f>AVERAGEIF('Sales Log'!$T$14:$T$213,G2,'Sales Log'!$J$14:$J$213)</f>
        <v>26188.333333333332</v>
      </c>
      <c r="H6" s="8">
        <f>AVERAGEIF('Sales Log'!$T$14:$T$213,H2,'Sales Log'!$J$14:$J$213)</f>
        <v>24550</v>
      </c>
      <c r="I6" s="8">
        <f>AVERAGEIF('Sales Log'!$T$14:$T$213,I2,'Sales Log'!$J$14:$J$213)</f>
        <v>26463.666666666668</v>
      </c>
      <c r="J6" s="8">
        <f>AVERAGEIF('Sales Log'!$T$14:$T$213,J2,'Sales Log'!$J$14:$J$213)</f>
        <v>21731.666666666668</v>
      </c>
      <c r="K6" s="8">
        <f>AVERAGEIF('Sales Log'!$T$14:$T$213,K2,'Sales Log'!$J$14:$J$213)</f>
        <v>21945.142857142859</v>
      </c>
      <c r="L6" s="8">
        <f>AVERAGEIF('Sales Log'!$T$14:$T$213,L2,'Sales Log'!$J$14:$J$213)</f>
        <v>18965.333333333332</v>
      </c>
      <c r="M6" s="8">
        <f>AVERAGEIF('Sales Log'!$T$14:$T$213,M2,'Sales Log'!$J$14:$J$213)</f>
        <v>20674.571428571428</v>
      </c>
      <c r="N6" s="8">
        <f>AVERAGEIF('Sales Log'!$T$14:$T$213,N2,'Sales Log'!$J$14:$J$213)</f>
        <v>18700.599999999999</v>
      </c>
      <c r="O6" s="8">
        <f>AVERAGEIF('Sales Log'!$T$14:$T$213,O2,'Sales Log'!$J$14:$J$213)</f>
        <v>28778.6</v>
      </c>
      <c r="P6" s="8">
        <f>AVERAGEIF('Sales Log'!$T$14:$T$213,P2,'Sales Log'!$J$14:$J$213)</f>
        <v>22340</v>
      </c>
      <c r="Q6" s="8">
        <f>AVERAGEIF('Sales Log'!$T$14:$T$213,Q2,'Sales Log'!$J$14:$J$213)</f>
        <v>23808.7</v>
      </c>
      <c r="R6" s="8">
        <f>AVERAGEIF('Sales Log'!$T$14:$T$213,R2,'Sales Log'!$J$14:$J$213)</f>
        <v>27990</v>
      </c>
      <c r="S6" s="8">
        <f>AVERAGEIF('Sales Log'!$T$14:$T$213,S2,'Sales Log'!$J$14:$J$213)</f>
        <v>22883.666666666668</v>
      </c>
      <c r="T6" s="8">
        <f>AVERAGEIF('Sales Log'!$T$14:$T$213,T2,'Sales Log'!$J$14:$J$213)</f>
        <v>29564.5</v>
      </c>
      <c r="U6" s="8">
        <f>AVERAGEIF('Sales Log'!$T$14:$T$213,U2,'Sales Log'!$J$14:$J$213)</f>
        <v>28194.5</v>
      </c>
      <c r="V6" s="8">
        <f>AVERAGEIF('Sales Log'!$T$14:$T$213,V2,'Sales Log'!$J$14:$J$213)</f>
        <v>20794.8</v>
      </c>
      <c r="W6" s="8">
        <f>AVERAGEIF('Sales Log'!$T$14:$T$213,W2,'Sales Log'!$J$14:$J$213)</f>
        <v>24090</v>
      </c>
      <c r="X6" s="8">
        <f>AVERAGEIF('Sales Log'!$T$14:$T$213,X2,'Sales Log'!$J$14:$J$213)</f>
        <v>23152.799999999999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127</v>
      </c>
      <c r="B7" s="8">
        <f>'Sales Log'!$K$214</f>
        <v>24154.252427184467</v>
      </c>
      <c r="C7" s="8" t="e">
        <f>AVERAGEIF('Sales Log'!$T$14:$T$213,C2,'Sales Log'!$K$14:$K$213)</f>
        <v>#DIV/0!</v>
      </c>
      <c r="D7" s="8">
        <f>AVERAGEIF('Sales Log'!$T$14:$T$213,D2,'Sales Log'!$K$14:$K$213)</f>
        <v>22438.75</v>
      </c>
      <c r="E7" s="8">
        <f>AVERAGEIF('Sales Log'!$T$14:$T$213,E2,'Sales Log'!$K$14:$K$213)</f>
        <v>20824.75</v>
      </c>
      <c r="F7" s="8">
        <f>AVERAGEIF('Sales Log'!$T$14:$T$213,F2,'Sales Log'!$K$14:$K$213)</f>
        <v>25704</v>
      </c>
      <c r="G7" s="8">
        <f>AVERAGEIF('Sales Log'!$T$14:$T$213,G2,'Sales Log'!$K$14:$K$213)</f>
        <v>26576.555555555555</v>
      </c>
      <c r="H7" s="8">
        <f>AVERAGEIF('Sales Log'!$T$14:$T$213,H2,'Sales Log'!$K$14:$K$213)</f>
        <v>24526</v>
      </c>
      <c r="I7" s="8">
        <f>AVERAGEIF('Sales Log'!$T$14:$T$213,I2,'Sales Log'!$K$14:$K$213)</f>
        <v>25145</v>
      </c>
      <c r="J7" s="8">
        <f>AVERAGEIF('Sales Log'!$T$14:$T$213,J2,'Sales Log'!$K$14:$K$213)</f>
        <v>22139.5</v>
      </c>
      <c r="K7" s="8">
        <f>AVERAGEIF('Sales Log'!$T$14:$T$213,K2,'Sales Log'!$K$14:$K$213)</f>
        <v>21330.428571428572</v>
      </c>
      <c r="L7" s="8">
        <f>AVERAGEIF('Sales Log'!$T$14:$T$213,L2,'Sales Log'!$K$14:$K$213)</f>
        <v>19076.666666666668</v>
      </c>
      <c r="M7" s="8">
        <f>AVERAGEIF('Sales Log'!$T$14:$T$213,M2,'Sales Log'!$K$14:$K$213)</f>
        <v>21538.285714285714</v>
      </c>
      <c r="N7" s="8">
        <f>AVERAGEIF('Sales Log'!$T$14:$T$213,N2,'Sales Log'!$K$14:$K$213)</f>
        <v>18525.2</v>
      </c>
      <c r="O7" s="8">
        <f>AVERAGEIF('Sales Log'!$T$14:$T$213,O2,'Sales Log'!$K$14:$K$213)</f>
        <v>30502.400000000001</v>
      </c>
      <c r="P7" s="8">
        <f>AVERAGEIF('Sales Log'!$T$14:$T$213,P2,'Sales Log'!$K$14:$K$213)</f>
        <v>20992.333333333332</v>
      </c>
      <c r="Q7" s="8">
        <f>AVERAGEIF('Sales Log'!$T$14:$T$213,Q2,'Sales Log'!$K$14:$K$213)</f>
        <v>25461.4</v>
      </c>
      <c r="R7" s="8">
        <f>AVERAGEIF('Sales Log'!$T$14:$T$213,R2,'Sales Log'!$K$14:$K$213)</f>
        <v>28753</v>
      </c>
      <c r="S7" s="8">
        <f>AVERAGEIF('Sales Log'!$T$14:$T$213,S2,'Sales Log'!$K$14:$K$213)</f>
        <v>22618</v>
      </c>
      <c r="T7" s="8">
        <f>AVERAGEIF('Sales Log'!$T$14:$T$213,T2,'Sales Log'!$K$14:$K$213)</f>
        <v>29564.5</v>
      </c>
      <c r="U7" s="8">
        <f>AVERAGEIF('Sales Log'!$T$14:$T$213,U2,'Sales Log'!$K$14:$K$213)</f>
        <v>28353.5</v>
      </c>
      <c r="V7" s="8">
        <f>AVERAGEIF('Sales Log'!$T$14:$T$213,V2,'Sales Log'!$K$14:$K$213)</f>
        <v>19691.2</v>
      </c>
      <c r="W7" s="8">
        <f>AVERAGEIF('Sales Log'!$T$14:$T$213,W2,'Sales Log'!$K$14:$K$213)</f>
        <v>23829.5</v>
      </c>
      <c r="X7" s="8">
        <f>AVERAGEIF('Sales Log'!$T$14:$T$213,X2,'Sales Log'!$K$14:$K$213)</f>
        <v>23450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128</v>
      </c>
      <c r="B8" s="8">
        <f>'Sales Log'!$M$214</f>
        <v>26662.088273382135</v>
      </c>
      <c r="C8" s="8" t="e">
        <f>AVERAGEIF('Sales Log'!$T$14:$T$213,C2,'Sales Log'!$M$14:$M$213)</f>
        <v>#DIV/0!</v>
      </c>
      <c r="D8" s="8">
        <f>AVERAGEIF('Sales Log'!$T$14:$T$213,D2,'Sales Log'!$M$14:$M$213)</f>
        <v>27135.442073170732</v>
      </c>
      <c r="E8" s="8">
        <f>AVERAGEIF('Sales Log'!$T$14:$T$213,E2,'Sales Log'!$M$14:$M$213)</f>
        <v>21226.231326590158</v>
      </c>
      <c r="F8" s="8">
        <f>AVERAGEIF('Sales Log'!$T$14:$T$213,F2,'Sales Log'!$M$14:$M$213)</f>
        <v>25200</v>
      </c>
      <c r="G8" s="8">
        <f>AVERAGEIF('Sales Log'!$T$14:$T$213,G2,'Sales Log'!$M$14:$M$213)</f>
        <v>30419.142808059489</v>
      </c>
      <c r="H8" s="8">
        <f>AVERAGEIF('Sales Log'!$T$14:$T$213,H2,'Sales Log'!$M$14:$M$213)</f>
        <v>29939.024390243903</v>
      </c>
      <c r="I8" s="8">
        <f>AVERAGEIF('Sales Log'!$T$14:$T$213,I2,'Sales Log'!$M$14:$M$213)</f>
        <v>29465.153478356424</v>
      </c>
      <c r="J8" s="8">
        <f>AVERAGEIF('Sales Log'!$T$14:$T$213,J2,'Sales Log'!$M$14:$M$213)</f>
        <v>24166.659776723187</v>
      </c>
      <c r="K8" s="8">
        <f>AVERAGEIF('Sales Log'!$T$14:$T$213,K2,'Sales Log'!$M$14:$M$213)</f>
        <v>25081.191559453498</v>
      </c>
      <c r="L8" s="8">
        <f>AVERAGEIF('Sales Log'!$T$14:$T$213,L2,'Sales Log'!$M$14:$M$213)</f>
        <v>21657.236738160133</v>
      </c>
      <c r="M8" s="8">
        <f>AVERAGEIF('Sales Log'!$T$14:$T$213,M2,'Sales Log'!$M$14:$M$213)</f>
        <v>23810.680728524832</v>
      </c>
      <c r="N8" s="8">
        <f>AVERAGEIF('Sales Log'!$T$14:$T$213,N2,'Sales Log'!$M$14:$M$213)</f>
        <v>19089.245283018867</v>
      </c>
      <c r="O8" s="8" t="e">
        <f>AVERAGEIF('Sales Log'!$T$14:$T$213,O2,'Sales Log'!$M$14:$M$213)</f>
        <v>#VALUE!</v>
      </c>
      <c r="P8" s="8">
        <f>AVERAGEIF('Sales Log'!$T$14:$T$213,P2,'Sales Log'!$M$14:$M$213)</f>
        <v>23185.936443542934</v>
      </c>
      <c r="Q8" s="8">
        <f>AVERAGEIF('Sales Log'!$T$14:$T$213,Q2,'Sales Log'!$M$14:$M$213)</f>
        <v>26674.286433244117</v>
      </c>
      <c r="R8" s="8">
        <f>AVERAGEIF('Sales Log'!$T$14:$T$213,R2,'Sales Log'!$M$14:$M$213)</f>
        <v>29852.97196494996</v>
      </c>
      <c r="S8" s="8">
        <f>AVERAGEIF('Sales Log'!$T$14:$T$213,S2,'Sales Log'!$M$14:$M$213)</f>
        <v>25346.702398908281</v>
      </c>
      <c r="T8" s="8">
        <f>AVERAGEIF('Sales Log'!$T$14:$T$213,T2,'Sales Log'!$M$14:$M$213)</f>
        <v>35864.66996281271</v>
      </c>
      <c r="U8" s="8">
        <f>AVERAGEIF('Sales Log'!$T$14:$T$213,U2,'Sales Log'!$M$14:$M$213)</f>
        <v>32504.717844697559</v>
      </c>
      <c r="V8" s="8">
        <f>AVERAGEIF('Sales Log'!$T$14:$T$213,V2,'Sales Log'!$M$14:$M$213)</f>
        <v>22647.265157895083</v>
      </c>
      <c r="W8" s="8">
        <f>AVERAGEIF('Sales Log'!$T$14:$T$213,W2,'Sales Log'!$M$14:$M$213)</f>
        <v>26755.77442317133</v>
      </c>
      <c r="X8" s="8">
        <f>AVERAGEIF('Sales Log'!$T$14:$T$213,X2,'Sales Log'!$M$14:$M$213)</f>
        <v>26661.90488264271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129</v>
      </c>
      <c r="B9" s="9">
        <f>'Sales Log'!L214</f>
        <v>0.89892156862745098</v>
      </c>
      <c r="C9" s="14" t="e">
        <f>C6/C8</f>
        <v>#DIV/0!</v>
      </c>
      <c r="D9" s="14">
        <f t="shared" ref="D9:BK9" si="0">D6/D8</f>
        <v>0.82691669218042951</v>
      </c>
      <c r="E9" s="14">
        <f t="shared" si="0"/>
        <v>1.0186217076092394</v>
      </c>
      <c r="F9" s="14">
        <f t="shared" si="0"/>
        <v>1.02</v>
      </c>
      <c r="G9" s="14">
        <f t="shared" si="0"/>
        <v>0.86091621642917526</v>
      </c>
      <c r="H9" s="14">
        <f t="shared" si="0"/>
        <v>0.82</v>
      </c>
      <c r="I9" s="14">
        <f t="shared" si="0"/>
        <v>0.89813435677860998</v>
      </c>
      <c r="J9" s="14">
        <f t="shared" si="0"/>
        <v>0.89924163568513293</v>
      </c>
      <c r="K9" s="14">
        <f t="shared" si="0"/>
        <v>0.87496412621079744</v>
      </c>
      <c r="L9" s="14">
        <f t="shared" si="0"/>
        <v>0.87570420744934385</v>
      </c>
      <c r="M9" s="14">
        <f t="shared" si="0"/>
        <v>0.86828980927889243</v>
      </c>
      <c r="N9" s="14">
        <f t="shared" si="0"/>
        <v>0.9796406155792553</v>
      </c>
      <c r="O9" s="14" t="e">
        <f t="shared" si="0"/>
        <v>#VALUE!</v>
      </c>
      <c r="P9" s="14">
        <f t="shared" si="0"/>
        <v>0.9635151055639799</v>
      </c>
      <c r="Q9" s="14">
        <f t="shared" si="0"/>
        <v>0.89257120559098668</v>
      </c>
      <c r="R9" s="14">
        <f t="shared" si="0"/>
        <v>0.93759509213564218</v>
      </c>
      <c r="S9" s="14">
        <f t="shared" si="0"/>
        <v>0.90282618648066426</v>
      </c>
      <c r="T9" s="14">
        <f t="shared" si="0"/>
        <v>0.82433492433235223</v>
      </c>
      <c r="U9" s="14">
        <f t="shared" si="0"/>
        <v>0.8673971616892322</v>
      </c>
      <c r="V9" s="14">
        <f t="shared" si="0"/>
        <v>0.9182035824202246</v>
      </c>
      <c r="W9" s="14">
        <f t="shared" si="0"/>
        <v>0.9003663889144361</v>
      </c>
      <c r="X9" s="14">
        <f t="shared" si="0"/>
        <v>0.86838506482981304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130</v>
      </c>
      <c r="B10" s="9">
        <f>'Sales Log'!$N$214</f>
        <v>0.90594000663101304</v>
      </c>
      <c r="C10" s="14" t="e">
        <f>C7/C8</f>
        <v>#DIV/0!</v>
      </c>
      <c r="D10" s="14">
        <f t="shared" ref="D10:BK10" si="1">D7/D8</f>
        <v>0.82691669218042951</v>
      </c>
      <c r="E10" s="14">
        <f t="shared" si="1"/>
        <v>0.9810856048625447</v>
      </c>
      <c r="F10" s="14">
        <f t="shared" si="1"/>
        <v>1.02</v>
      </c>
      <c r="G10" s="14">
        <f t="shared" si="1"/>
        <v>0.87367864779260485</v>
      </c>
      <c r="H10" s="14">
        <f t="shared" si="1"/>
        <v>0.81919837067209778</v>
      </c>
      <c r="I10" s="14">
        <f t="shared" si="1"/>
        <v>0.85338092735441595</v>
      </c>
      <c r="J10" s="14">
        <f t="shared" si="1"/>
        <v>0.91611750256542679</v>
      </c>
      <c r="K10" s="14">
        <f t="shared" si="1"/>
        <v>0.85045515165681174</v>
      </c>
      <c r="L10" s="14">
        <f t="shared" si="1"/>
        <v>0.88084490636118451</v>
      </c>
      <c r="M10" s="14">
        <f t="shared" si="1"/>
        <v>0.90456404669200308</v>
      </c>
      <c r="N10" s="14">
        <f t="shared" si="1"/>
        <v>0.97045219574392383</v>
      </c>
      <c r="O10" s="14" t="e">
        <f t="shared" si="1"/>
        <v>#VALUE!</v>
      </c>
      <c r="P10" s="14">
        <f t="shared" si="1"/>
        <v>0.90539079085500984</v>
      </c>
      <c r="Q10" s="14">
        <f t="shared" si="1"/>
        <v>0.95452975147884378</v>
      </c>
      <c r="R10" s="14">
        <f t="shared" si="1"/>
        <v>0.96315368646574195</v>
      </c>
      <c r="S10" s="14">
        <f t="shared" si="1"/>
        <v>0.89234487563850473</v>
      </c>
      <c r="T10" s="14">
        <f t="shared" si="1"/>
        <v>0.82433492433235223</v>
      </c>
      <c r="U10" s="14">
        <f t="shared" si="1"/>
        <v>0.8722887592954528</v>
      </c>
      <c r="V10" s="14">
        <f t="shared" si="1"/>
        <v>0.86947363678194201</v>
      </c>
      <c r="W10" s="14">
        <f t="shared" si="1"/>
        <v>0.89063017287822976</v>
      </c>
      <c r="X10" s="14">
        <f t="shared" si="1"/>
        <v>0.8795320553133581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131</v>
      </c>
      <c r="B11" s="8">
        <f>'Sales Log'!$O$214</f>
        <v>-187.126213592233</v>
      </c>
      <c r="C11" s="8" t="e">
        <f>AVERAGEIF('Sales Log'!$T$14:$T$213,C2,'Sales Log'!$O$14:$O$213)</f>
        <v>#DIV/0!</v>
      </c>
      <c r="D11" s="8">
        <f>AVERAGEIF('Sales Log'!$T$14:$T$213,D2,'Sales Log'!$O$14:$O$213)</f>
        <v>0</v>
      </c>
      <c r="E11" s="8">
        <f>AVERAGEIF('Sales Log'!$T$14:$T$213,E2,'Sales Log'!$O$14:$O$213)</f>
        <v>796.75</v>
      </c>
      <c r="F11" s="8">
        <f>AVERAGEIF('Sales Log'!$T$14:$T$213,F2,'Sales Log'!$O$14:$O$213)</f>
        <v>0</v>
      </c>
      <c r="G11" s="8">
        <f>AVERAGEIF('Sales Log'!$T$14:$T$213,G2,'Sales Log'!$O$14:$O$213)</f>
        <v>-388.22222222222223</v>
      </c>
      <c r="H11" s="8">
        <f>AVERAGEIF('Sales Log'!$T$14:$T$213,H2,'Sales Log'!$O$14:$O$213)</f>
        <v>24</v>
      </c>
      <c r="I11" s="8">
        <f>AVERAGEIF('Sales Log'!$T$14:$T$213,I2,'Sales Log'!$O$14:$O$213)</f>
        <v>1318.6666666666667</v>
      </c>
      <c r="J11" s="8">
        <f>AVERAGEIF('Sales Log'!$T$14:$T$213,J2,'Sales Log'!$O$14:$O$213)</f>
        <v>-407.83333333333331</v>
      </c>
      <c r="K11" s="8">
        <f>AVERAGEIF('Sales Log'!$T$14:$T$213,K2,'Sales Log'!$O$14:$O$213)</f>
        <v>614.71428571428567</v>
      </c>
      <c r="L11" s="8">
        <f>AVERAGEIF('Sales Log'!$T$14:$T$213,L2,'Sales Log'!$O$14:$O$213)</f>
        <v>-111.33333333333333</v>
      </c>
      <c r="M11" s="8">
        <f>AVERAGEIF('Sales Log'!$T$14:$T$213,M2,'Sales Log'!$O$14:$O$213)</f>
        <v>-863.71428571428567</v>
      </c>
      <c r="N11" s="8">
        <f>AVERAGEIF('Sales Log'!$T$14:$T$213,N2,'Sales Log'!$O$14:$O$213)</f>
        <v>175.4</v>
      </c>
      <c r="O11" s="8">
        <f>AVERAGEIF('Sales Log'!$T$14:$T$213,O2,'Sales Log'!$O$14:$O$213)</f>
        <v>-1723.8</v>
      </c>
      <c r="P11" s="8">
        <f>AVERAGEIF('Sales Log'!$T$14:$T$213,P2,'Sales Log'!$O$14:$O$213)</f>
        <v>1347.6666666666667</v>
      </c>
      <c r="Q11" s="8">
        <f>AVERAGEIF('Sales Log'!$T$14:$T$213,Q2,'Sales Log'!$O$14:$O$213)</f>
        <v>-1652.7</v>
      </c>
      <c r="R11" s="8">
        <f>AVERAGEIF('Sales Log'!$T$14:$T$213,R2,'Sales Log'!$O$14:$O$213)</f>
        <v>-763</v>
      </c>
      <c r="S11" s="8">
        <f>AVERAGEIF('Sales Log'!$T$14:$T$213,S2,'Sales Log'!$O$14:$O$213)</f>
        <v>265.66666666666669</v>
      </c>
      <c r="T11" s="8">
        <f>AVERAGEIF('Sales Log'!$T$14:$T$213,T2,'Sales Log'!$O$14:$O$213)</f>
        <v>0</v>
      </c>
      <c r="U11" s="8">
        <f>AVERAGEIF('Sales Log'!$T$14:$T$213,U2,'Sales Log'!$O$14:$O$213)</f>
        <v>-159</v>
      </c>
      <c r="V11" s="8">
        <f>AVERAGEIF('Sales Log'!$T$14:$T$213,V2,'Sales Log'!$O$14:$O$213)</f>
        <v>1103.5999999999999</v>
      </c>
      <c r="W11" s="8">
        <f>AVERAGEIF('Sales Log'!$T$14:$T$213,W2,'Sales Log'!$O$14:$O$213)</f>
        <v>260.5</v>
      </c>
      <c r="X11" s="8">
        <f>AVERAGEIF('Sales Log'!$T$14:$T$213,X2,'Sales Log'!$O$14:$O$213)</f>
        <v>-297.2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132</v>
      </c>
      <c r="B12" s="8">
        <f>'Sales Log'!$P$214</f>
        <v>849.495145631068</v>
      </c>
      <c r="C12" s="8" t="e">
        <f>AVERAGEIF('Sales Log'!$T$14:$T$213,C2,'Sales Log'!$P$14:$P$213)</f>
        <v>#DIV/0!</v>
      </c>
      <c r="D12" s="8">
        <f>AVERAGEIF('Sales Log'!$T$14:$T$213,D2,'Sales Log'!$P$14:$P$213)</f>
        <v>-1306</v>
      </c>
      <c r="E12" s="8">
        <f>AVERAGEIF('Sales Log'!$T$14:$T$213,E2,'Sales Log'!$P$14:$P$213)</f>
        <v>1258.5</v>
      </c>
      <c r="F12" s="8">
        <f>AVERAGEIF('Sales Log'!$T$14:$T$213,F2,'Sales Log'!$P$14:$P$213)</f>
        <v>87</v>
      </c>
      <c r="G12" s="8">
        <f>AVERAGEIF('Sales Log'!$T$14:$T$213,G2,'Sales Log'!$P$14:$P$213)</f>
        <v>650.11111111111109</v>
      </c>
      <c r="H12" s="8">
        <f>AVERAGEIF('Sales Log'!$T$14:$T$213,H2,'Sales Log'!$P$14:$P$213)</f>
        <v>-1839</v>
      </c>
      <c r="I12" s="8">
        <f>AVERAGEIF('Sales Log'!$T$14:$T$213,I2,'Sales Log'!$P$14:$P$213)</f>
        <v>242</v>
      </c>
      <c r="J12" s="8">
        <f>AVERAGEIF('Sales Log'!$T$14:$T$213,J2,'Sales Log'!$P$14:$P$213)</f>
        <v>-210.66666666666666</v>
      </c>
      <c r="K12" s="8">
        <f>AVERAGEIF('Sales Log'!$T$14:$T$213,K2,'Sales Log'!$P$14:$P$213)</f>
        <v>-252.85714285714286</v>
      </c>
      <c r="L12" s="8">
        <f>AVERAGEIF('Sales Log'!$T$14:$T$213,L2,'Sales Log'!$P$14:$P$213)</f>
        <v>602.66666666666663</v>
      </c>
      <c r="M12" s="8">
        <f>AVERAGEIF('Sales Log'!$T$14:$T$213,M2,'Sales Log'!$P$14:$P$213)</f>
        <v>670.85714285714289</v>
      </c>
      <c r="N12" s="8">
        <f>AVERAGEIF('Sales Log'!$T$14:$T$213,N2,'Sales Log'!$P$14:$P$213)</f>
        <v>1124.8</v>
      </c>
      <c r="O12" s="8">
        <f>AVERAGEIF('Sales Log'!$T$14:$T$213,O2,'Sales Log'!$P$14:$P$213)</f>
        <v>1609.8</v>
      </c>
      <c r="P12" s="8">
        <f>AVERAGEIF('Sales Log'!$T$14:$T$213,P2,'Sales Log'!$P$14:$P$213)</f>
        <v>1075</v>
      </c>
      <c r="Q12" s="8">
        <f>AVERAGEIF('Sales Log'!$T$14:$T$213,Q2,'Sales Log'!$P$14:$P$213)</f>
        <v>2150</v>
      </c>
      <c r="R12" s="8">
        <f>AVERAGEIF('Sales Log'!$T$14:$T$213,R2,'Sales Log'!$P$14:$P$213)</f>
        <v>2491.4444444444443</v>
      </c>
      <c r="S12" s="8">
        <f>AVERAGEIF('Sales Log'!$T$14:$T$213,S2,'Sales Log'!$P$14:$P$213)</f>
        <v>130.33333333333334</v>
      </c>
      <c r="T12" s="8">
        <f>AVERAGEIF('Sales Log'!$T$14:$T$213,T2,'Sales Log'!$P$14:$P$213)</f>
        <v>367.25</v>
      </c>
      <c r="U12" s="8">
        <f>AVERAGEIF('Sales Log'!$T$14:$T$213,U2,'Sales Log'!$P$14:$P$213)</f>
        <v>968.25</v>
      </c>
      <c r="V12" s="8">
        <f>AVERAGEIF('Sales Log'!$T$14:$T$213,V2,'Sales Log'!$P$14:$P$213)</f>
        <v>1115.8</v>
      </c>
      <c r="W12" s="8">
        <f>AVERAGEIF('Sales Log'!$T$14:$T$213,W2,'Sales Log'!$P$14:$P$213)</f>
        <v>1584</v>
      </c>
      <c r="X12" s="8">
        <f>AVERAGEIF('Sales Log'!$T$14:$T$213,X2,'Sales Log'!$P$14:$P$213)</f>
        <v>673.2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133</v>
      </c>
      <c r="B13" s="8">
        <f>'Sales Log'!$Q$214</f>
        <v>2359.3592233009708</v>
      </c>
      <c r="C13" s="8" t="e">
        <f>AVERAGEIF('Sales Log'!$T$14:$T$213,C2,'Sales Log'!$Q$14:$Q$213)</f>
        <v>#DIV/0!</v>
      </c>
      <c r="D13" s="8">
        <f>AVERAGEIF('Sales Log'!$T$14:$T$213,D2,'Sales Log'!$Q$14:$Q$213)</f>
        <v>2813.75</v>
      </c>
      <c r="E13" s="8">
        <f>AVERAGEIF('Sales Log'!$T$14:$T$213,E2,'Sales Log'!$Q$14:$Q$213)</f>
        <v>1853.25</v>
      </c>
      <c r="F13" s="8">
        <f>AVERAGEIF('Sales Log'!$T$14:$T$213,F2,'Sales Log'!$Q$14:$Q$213)</f>
        <v>1504</v>
      </c>
      <c r="G13" s="8">
        <f>AVERAGEIF('Sales Log'!$T$14:$T$213,G2,'Sales Log'!$Q$14:$Q$213)</f>
        <v>1229.3333333333333</v>
      </c>
      <c r="H13" s="8">
        <f>AVERAGEIF('Sales Log'!$T$14:$T$213,H2,'Sales Log'!$Q$14:$Q$213)</f>
        <v>230</v>
      </c>
      <c r="I13" s="8">
        <f>AVERAGEIF('Sales Log'!$T$14:$T$213,I2,'Sales Log'!$Q$14:$Q$213)</f>
        <v>2695.5</v>
      </c>
      <c r="J13" s="8">
        <f>AVERAGEIF('Sales Log'!$T$14:$T$213,J2,'Sales Log'!$Q$14:$Q$213)</f>
        <v>1805.8333333333333</v>
      </c>
      <c r="K13" s="8">
        <f>AVERAGEIF('Sales Log'!$T$14:$T$213,K2,'Sales Log'!$Q$14:$Q$213)</f>
        <v>1933.7142857142858</v>
      </c>
      <c r="L13" s="8">
        <f>AVERAGEIF('Sales Log'!$T$14:$T$213,L2,'Sales Log'!$Q$14:$Q$213)</f>
        <v>1266.6666666666667</v>
      </c>
      <c r="M13" s="8">
        <f>AVERAGEIF('Sales Log'!$T$14:$T$213,M2,'Sales Log'!$Q$14:$Q$213)</f>
        <v>5395.5714285714284</v>
      </c>
      <c r="N13" s="8">
        <f>AVERAGEIF('Sales Log'!$T$14:$T$213,N2,'Sales Log'!$Q$14:$Q$213)</f>
        <v>1661.4</v>
      </c>
      <c r="O13" s="8">
        <f>AVERAGEIF('Sales Log'!$T$14:$T$213,O2,'Sales Log'!$Q$14:$Q$213)</f>
        <v>2834.4</v>
      </c>
      <c r="P13" s="8">
        <f>AVERAGEIF('Sales Log'!$T$14:$T$213,P2,'Sales Log'!$Q$14:$Q$213)</f>
        <v>2187.6666666666665</v>
      </c>
      <c r="Q13" s="8">
        <f>AVERAGEIF('Sales Log'!$T$14:$T$213,Q2,'Sales Log'!$Q$14:$Q$213)</f>
        <v>3079.9</v>
      </c>
      <c r="R13" s="8">
        <f>AVERAGEIF('Sales Log'!$T$14:$T$213,R2,'Sales Log'!$Q$14:$Q$213)</f>
        <v>3381.8888888888887</v>
      </c>
      <c r="S13" s="8">
        <f>AVERAGEIF('Sales Log'!$T$14:$T$213,S2,'Sales Log'!$Q$14:$Q$213)</f>
        <v>2314.3333333333335</v>
      </c>
      <c r="T13" s="8">
        <f>AVERAGEIF('Sales Log'!$T$14:$T$213,T2,'Sales Log'!$Q$14:$Q$213)</f>
        <v>1431.25</v>
      </c>
      <c r="U13" s="8">
        <f>AVERAGEIF('Sales Log'!$T$14:$T$213,U2,'Sales Log'!$Q$14:$Q$213)</f>
        <v>2212.25</v>
      </c>
      <c r="V13" s="8">
        <f>AVERAGEIF('Sales Log'!$T$14:$T$213,V2,'Sales Log'!$Q$14:$Q$213)</f>
        <v>1597.2</v>
      </c>
      <c r="W13" s="8">
        <f>AVERAGEIF('Sales Log'!$T$14:$T$213,W2,'Sales Log'!$Q$14:$Q$213)</f>
        <v>1258</v>
      </c>
      <c r="X13" s="8">
        <f>AVERAGEIF('Sales Log'!$T$14:$T$213,X2,'Sales Log'!$Q$14:$Q$213)</f>
        <v>1427.6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134</v>
      </c>
      <c r="B14" s="8">
        <f>'Sales Log'!$R$214</f>
        <v>3208.8543689320391</v>
      </c>
      <c r="C14" s="8" t="e">
        <f>AVERAGEIF('Sales Log'!$T$14:$T$213,C2,'Sales Log'!$R$14:$R$213)</f>
        <v>#DIV/0!</v>
      </c>
      <c r="D14" s="8">
        <f>AVERAGEIF('Sales Log'!$T$14:$T$213,D2,'Sales Log'!$R$14:$R$213)</f>
        <v>1507.75</v>
      </c>
      <c r="E14" s="8">
        <f>AVERAGEIF('Sales Log'!$T$14:$T$213,E2,'Sales Log'!$R$14:$R$213)</f>
        <v>3111.75</v>
      </c>
      <c r="F14" s="8">
        <f>AVERAGEIF('Sales Log'!$T$14:$T$213,F2,'Sales Log'!$R$14:$R$213)</f>
        <v>1591</v>
      </c>
      <c r="G14" s="8">
        <f>AVERAGEIF('Sales Log'!$T$14:$T$213,G2,'Sales Log'!$R$14:$R$213)</f>
        <v>1879.4444444444443</v>
      </c>
      <c r="H14" s="8">
        <f>AVERAGEIF('Sales Log'!$T$14:$T$213,H2,'Sales Log'!$R$14:$R$213)</f>
        <v>-1609</v>
      </c>
      <c r="I14" s="8">
        <f>AVERAGEIF('Sales Log'!$T$14:$T$213,I2,'Sales Log'!$R$14:$R$213)</f>
        <v>2937.5</v>
      </c>
      <c r="J14" s="8">
        <f>AVERAGEIF('Sales Log'!$T$14:$T$213,J2,'Sales Log'!$R$14:$R$213)</f>
        <v>1595.1666666666667</v>
      </c>
      <c r="K14" s="8">
        <f>AVERAGEIF('Sales Log'!$T$14:$T$213,K2,'Sales Log'!$R$14:$R$213)</f>
        <v>1680.8571428571429</v>
      </c>
      <c r="L14" s="8">
        <f>AVERAGEIF('Sales Log'!$T$14:$T$213,L2,'Sales Log'!$R$14:$R$213)</f>
        <v>1869.3333333333333</v>
      </c>
      <c r="M14" s="8">
        <f>AVERAGEIF('Sales Log'!$T$14:$T$213,M2,'Sales Log'!$R$14:$R$213)</f>
        <v>6066.4285714285716</v>
      </c>
      <c r="N14" s="8">
        <f>AVERAGEIF('Sales Log'!$T$14:$T$213,N2,'Sales Log'!$R$14:$R$213)</f>
        <v>2786.2</v>
      </c>
      <c r="O14" s="8">
        <f>AVERAGEIF('Sales Log'!$T$14:$T$213,O2,'Sales Log'!$R$14:$R$213)</f>
        <v>4444.2</v>
      </c>
      <c r="P14" s="8">
        <f>AVERAGEIF('Sales Log'!$T$14:$T$213,P2,'Sales Log'!$R$14:$R$213)</f>
        <v>3262.6666666666665</v>
      </c>
      <c r="Q14" s="8">
        <f>AVERAGEIF('Sales Log'!$T$14:$T$213,Q2,'Sales Log'!$R$14:$R$213)</f>
        <v>5229.8999999999996</v>
      </c>
      <c r="R14" s="8">
        <f>AVERAGEIF('Sales Log'!$T$14:$T$213,R2,'Sales Log'!$R$14:$R$213)</f>
        <v>5873.333333333333</v>
      </c>
      <c r="S14" s="8">
        <f>AVERAGEIF('Sales Log'!$T$14:$T$213,S2,'Sales Log'!$R$14:$R$213)</f>
        <v>2444.6666666666665</v>
      </c>
      <c r="T14" s="8">
        <f>AVERAGEIF('Sales Log'!$T$14:$T$213,T2,'Sales Log'!$R$14:$R$213)</f>
        <v>1798.5</v>
      </c>
      <c r="U14" s="8">
        <f>AVERAGEIF('Sales Log'!$T$14:$T$213,U2,'Sales Log'!$R$14:$R$213)</f>
        <v>3180.5</v>
      </c>
      <c r="V14" s="8">
        <f>AVERAGEIF('Sales Log'!$T$14:$T$213,V2,'Sales Log'!$R$14:$R$213)</f>
        <v>2713</v>
      </c>
      <c r="W14" s="8">
        <f>AVERAGEIF('Sales Log'!$T$14:$T$213,W2,'Sales Log'!$R$14:$R$213)</f>
        <v>2842</v>
      </c>
      <c r="X14" s="8">
        <f>AVERAGEIF('Sales Log'!$T$14:$T$213,X2,'Sales Log'!$R$14:$R$213)</f>
        <v>2100.8000000000002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135</v>
      </c>
      <c r="B15" s="10">
        <f>B14*B4</f>
        <v>330512</v>
      </c>
      <c r="C15" s="10" t="e">
        <f>C14*C4</f>
        <v>#DIV/0!</v>
      </c>
      <c r="D15" s="10">
        <f t="shared" ref="D15:L15" si="2">D14*D4</f>
        <v>6031</v>
      </c>
      <c r="E15" s="10">
        <f t="shared" si="2"/>
        <v>12447</v>
      </c>
      <c r="F15" s="10">
        <f t="shared" si="2"/>
        <v>1591</v>
      </c>
      <c r="G15" s="10">
        <f t="shared" si="2"/>
        <v>16915</v>
      </c>
      <c r="H15" s="10">
        <f t="shared" si="2"/>
        <v>-1609</v>
      </c>
      <c r="I15" s="10">
        <f t="shared" si="2"/>
        <v>17625</v>
      </c>
      <c r="J15" s="10">
        <f t="shared" si="2"/>
        <v>9571</v>
      </c>
      <c r="K15" s="10">
        <f t="shared" si="2"/>
        <v>11766</v>
      </c>
      <c r="L15" s="10">
        <f t="shared" si="2"/>
        <v>5608</v>
      </c>
      <c r="M15" s="10">
        <f t="shared" ref="M15" si="3">M14*M4</f>
        <v>42465</v>
      </c>
      <c r="N15" s="10">
        <f t="shared" ref="N15" si="4">N14*N4</f>
        <v>13931</v>
      </c>
      <c r="O15" s="10">
        <f t="shared" ref="O15" si="5">O14*O4</f>
        <v>22221</v>
      </c>
      <c r="P15" s="10">
        <f t="shared" ref="P15" si="6">P14*P4</f>
        <v>9788</v>
      </c>
      <c r="Q15" s="10">
        <f t="shared" ref="Q15:R15" si="7">Q14*Q4</f>
        <v>52299</v>
      </c>
      <c r="R15" s="10">
        <f t="shared" si="7"/>
        <v>52860</v>
      </c>
      <c r="S15" s="10">
        <f t="shared" ref="S15:Z15" si="8">S14*S4</f>
        <v>7334</v>
      </c>
      <c r="T15" s="10">
        <f t="shared" si="8"/>
        <v>7194</v>
      </c>
      <c r="U15" s="10">
        <f t="shared" si="8"/>
        <v>12722</v>
      </c>
      <c r="V15" s="10">
        <f t="shared" si="8"/>
        <v>13565</v>
      </c>
      <c r="W15" s="10">
        <f t="shared" si="8"/>
        <v>5684</v>
      </c>
      <c r="X15" s="10">
        <f t="shared" si="8"/>
        <v>10504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89</v>
      </c>
      <c r="B16" s="9">
        <f>(B14/(B7)*(360/B5))</f>
        <v>1.2824836145747567</v>
      </c>
      <c r="C16" s="9" t="e">
        <f t="shared" ref="C16:BK16" ca="1" si="10">(C14/(C7)*(360/C5))</f>
        <v>#DIV/0!</v>
      </c>
      <c r="D16" s="9">
        <f t="shared" ca="1" si="10"/>
        <v>0.38859197024295722</v>
      </c>
      <c r="E16" s="9">
        <f t="shared" ca="1" si="10"/>
        <v>8.2758773537774477</v>
      </c>
      <c r="F16" s="9">
        <f t="shared" ca="1" si="10"/>
        <v>1.8569094304388423</v>
      </c>
      <c r="G16" s="9">
        <f t="shared" ca="1" si="10"/>
        <v>0.52552008601236266</v>
      </c>
      <c r="H16" s="9">
        <f t="shared" ca="1" si="10"/>
        <v>-0.37487913700912157</v>
      </c>
      <c r="I16" s="9">
        <f t="shared" ca="1" si="10"/>
        <v>1.0093457943925235</v>
      </c>
      <c r="J16" s="9">
        <f t="shared" ca="1" si="10"/>
        <v>0.66225332310162888</v>
      </c>
      <c r="K16" s="9">
        <f t="shared" ca="1" si="10"/>
        <v>0.73547514282078585</v>
      </c>
      <c r="L16" s="9">
        <f t="shared" ca="1" si="10"/>
        <v>0.89686279271568459</v>
      </c>
      <c r="M16" s="9">
        <f t="shared" ca="1" si="10"/>
        <v>2.8391117478510028</v>
      </c>
      <c r="N16" s="9">
        <f t="shared" ca="1" si="10"/>
        <v>3.3014751692223592</v>
      </c>
      <c r="O16" s="9">
        <f t="shared" ca="1" si="10"/>
        <v>1.2919212752894578</v>
      </c>
      <c r="P16" s="9">
        <f t="shared" ca="1" si="10"/>
        <v>2.9448344968045976</v>
      </c>
      <c r="Q16" s="9">
        <f t="shared" ca="1" si="10"/>
        <v>1.9562385190355371</v>
      </c>
      <c r="R16" s="9">
        <f t="shared" ca="1" si="10"/>
        <v>2.2821726548474102</v>
      </c>
      <c r="S16" s="9">
        <f t="shared" ca="1" si="10"/>
        <v>1.0330248365112915</v>
      </c>
      <c r="T16" s="9">
        <f t="shared" ca="1" si="10"/>
        <v>0.35754961221072851</v>
      </c>
      <c r="U16" s="9">
        <f t="shared" ca="1" si="10"/>
        <v>1.0768617630980302</v>
      </c>
      <c r="V16" s="9">
        <f t="shared" ca="1" si="10"/>
        <v>1.8507395985054007</v>
      </c>
      <c r="W16" s="9">
        <f t="shared" ca="1" si="10"/>
        <v>1.28164231403882</v>
      </c>
      <c r="X16" s="9">
        <f t="shared" ca="1" si="10"/>
        <v>0.75706777981320761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136</v>
      </c>
      <c r="B17" s="9">
        <f>'Sales Log'!AA214/'Scoreboard Total'!B3</f>
        <v>0.27184466019417475</v>
      </c>
      <c r="C17" s="9" t="e">
        <f>COUNTIFS('Sales Log'!$T$14:$T$213,C2,'Sales Log'!$AA$14:$AA$213,"Yes")/C$4</f>
        <v>#DIV/0!</v>
      </c>
      <c r="D17" s="9">
        <f>COUNTIFS('Sales Log'!$T$14:$T$213,D2,'Sales Log'!$AA$14:$AA$213,"Yes")/D$4</f>
        <v>0.25</v>
      </c>
      <c r="E17" s="9">
        <f>COUNTIFS('Sales Log'!$T$14:$T$213,E2,'Sales Log'!$AA$14:$AA$213,"Yes")/E$4</f>
        <v>0.25</v>
      </c>
      <c r="F17" s="9">
        <f>COUNTIFS('Sales Log'!$T$14:$T$213,F2,'Sales Log'!$AA$14:$AA$213,"Yes")/F$4</f>
        <v>0</v>
      </c>
      <c r="G17" s="9">
        <f>COUNTIFS('Sales Log'!$T$14:$T$213,G2,'Sales Log'!$AA$14:$AA$213,"Yes")/G$4</f>
        <v>0.33333333333333331</v>
      </c>
      <c r="H17" s="9">
        <f>COUNTIFS('Sales Log'!$T$14:$T$213,H2,'Sales Log'!$AA$14:$AA$213,"Yes")/H$4</f>
        <v>0</v>
      </c>
      <c r="I17" s="9">
        <f>COUNTIFS('Sales Log'!$T$14:$T$213,I2,'Sales Log'!$AA$14:$AA$213,"Yes")/I$4</f>
        <v>0.33333333333333331</v>
      </c>
      <c r="J17" s="9">
        <f>COUNTIFS('Sales Log'!$T$14:$T$213,J2,'Sales Log'!$AA$14:$AA$213,"Yes")/J$4</f>
        <v>0.16666666666666666</v>
      </c>
      <c r="K17" s="9">
        <f>COUNTIFS('Sales Log'!$T$14:$T$213,K2,'Sales Log'!$AA$14:$AA$213,"Yes")/K$4</f>
        <v>0.2857142857142857</v>
      </c>
      <c r="L17" s="9">
        <f>COUNTIFS('Sales Log'!$T$14:$T$213,L2,'Sales Log'!$AA$14:$AA$213,"Yes")/L$4</f>
        <v>0</v>
      </c>
      <c r="M17" s="9">
        <f>COUNTIFS('Sales Log'!$T$14:$T$213,M2,'Sales Log'!$AA$14:$AA$213,"Yes")/M$4</f>
        <v>0.2857142857142857</v>
      </c>
      <c r="N17" s="9">
        <f>COUNTIFS('Sales Log'!$T$14:$T$213,N2,'Sales Log'!$AA$14:$AA$213,"Yes")/N$4</f>
        <v>0</v>
      </c>
      <c r="O17" s="9">
        <f>COUNTIFS('Sales Log'!$T$14:$T$213,O2,'Sales Log'!$AA$14:$AA$213,"Yes")/O$4</f>
        <v>0</v>
      </c>
      <c r="P17" s="9">
        <f>COUNTIFS('Sales Log'!$T$14:$T$213,P2,'Sales Log'!$AA$14:$AA$213,"Yes")/P$4</f>
        <v>0.33333333333333331</v>
      </c>
      <c r="Q17" s="9">
        <f>COUNTIFS('Sales Log'!$T$14:$T$213,Q2,'Sales Log'!$AA$14:$AA$213,"Yes")/Q$4</f>
        <v>0.3</v>
      </c>
      <c r="R17" s="9">
        <f>COUNTIFS('Sales Log'!$T$14:$T$213,R2,'Sales Log'!$AA$14:$AA$213,"Yes")/R$4</f>
        <v>0.44444444444444442</v>
      </c>
      <c r="S17" s="9">
        <f>COUNTIFS('Sales Log'!$T$14:$T$213,S2,'Sales Log'!$AA$14:$AA$213,"Yes")/S$4</f>
        <v>0.66666666666666663</v>
      </c>
      <c r="T17" s="9">
        <f>COUNTIFS('Sales Log'!$T$14:$T$213,T2,'Sales Log'!$AA$14:$AA$213,"Yes")/T$4</f>
        <v>0.25</v>
      </c>
      <c r="U17" s="9">
        <f>COUNTIFS('Sales Log'!$T$14:$T$213,U2,'Sales Log'!$AA$14:$AA$213,"Yes")/U$4</f>
        <v>0.5</v>
      </c>
      <c r="V17" s="9">
        <f>COUNTIFS('Sales Log'!$T$14:$T$213,V2,'Sales Log'!$AA$14:$AA$213,"Yes")/V$4</f>
        <v>0.4</v>
      </c>
      <c r="W17" s="9">
        <f>COUNTIFS('Sales Log'!$T$14:$T$213,W2,'Sales Log'!$AA$14:$AA$213,"Yes")/W$4</f>
        <v>0.5</v>
      </c>
      <c r="X17" s="9">
        <f>COUNTIFS('Sales Log'!$T$14:$T$213,X2,'Sales Log'!$AA$14:$AA$213,"Yes")/X$4</f>
        <v>0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137</v>
      </c>
      <c r="B18" s="114">
        <f>'Sales Log'!$AB$214</f>
        <v>277.99029126213594</v>
      </c>
      <c r="C18" s="114" t="e">
        <f>AVERAGEIF('Sales Log'!$T$14:$T$213,C2,'Sales Log'!$AB$14:$AB$213)</f>
        <v>#DIV/0!</v>
      </c>
      <c r="D18" s="114">
        <f>AVERAGEIF('Sales Log'!$T$14:$T$213,D2,'Sales Log'!$AB$14:$AB$213)</f>
        <v>-750</v>
      </c>
      <c r="E18" s="114">
        <f>AVERAGEIF('Sales Log'!$T$14:$T$213,E2,'Sales Log'!$AB$14:$AB$213)</f>
        <v>0</v>
      </c>
      <c r="F18" s="114">
        <f>AVERAGEIF('Sales Log'!$T$14:$T$213,F2,'Sales Log'!$AB$14:$AB$213)</f>
        <v>0</v>
      </c>
      <c r="G18" s="114">
        <f>AVERAGEIF('Sales Log'!$T$14:$T$213,G2,'Sales Log'!$AB$14:$AB$213)</f>
        <v>222.22222222222223</v>
      </c>
      <c r="H18" s="114">
        <f>AVERAGEIF('Sales Log'!$T$14:$T$213,H2,'Sales Log'!$AB$14:$AB$213)</f>
        <v>0</v>
      </c>
      <c r="I18" s="114">
        <f>AVERAGEIF('Sales Log'!$T$14:$T$213,I2,'Sales Log'!$AB$14:$AB$213)</f>
        <v>383.33333333333331</v>
      </c>
      <c r="J18" s="114">
        <f>AVERAGEIF('Sales Log'!$T$14:$T$213,J2,'Sales Log'!$AB$14:$AB$213)</f>
        <v>83.333333333333329</v>
      </c>
      <c r="K18" s="114">
        <f>AVERAGEIF('Sales Log'!$T$14:$T$213,K2,'Sales Log'!$AB$14:$AB$213)</f>
        <v>-314.28571428571428</v>
      </c>
      <c r="L18" s="114">
        <f>AVERAGEIF('Sales Log'!$T$14:$T$213,L2,'Sales Log'!$AB$14:$AB$213)</f>
        <v>0</v>
      </c>
      <c r="M18" s="114">
        <f>AVERAGEIF('Sales Log'!$T$14:$T$213,M2,'Sales Log'!$AB$14:$AB$213)</f>
        <v>285.71428571428572</v>
      </c>
      <c r="N18" s="114">
        <f>AVERAGEIF('Sales Log'!$T$14:$T$213,N2,'Sales Log'!$AB$14:$AB$213)</f>
        <v>0</v>
      </c>
      <c r="O18" s="114">
        <f>AVERAGEIF('Sales Log'!$T$14:$T$213,O2,'Sales Log'!$AB$14:$AB$213)</f>
        <v>256.60000000000002</v>
      </c>
      <c r="P18" s="114">
        <f>AVERAGEIF('Sales Log'!$T$14:$T$213,P2,'Sales Log'!$AB$14:$AB$213)</f>
        <v>500</v>
      </c>
      <c r="Q18" s="114">
        <f>AVERAGEIF('Sales Log'!$T$14:$T$213,Q2,'Sales Log'!$AB$14:$AB$213)</f>
        <v>300</v>
      </c>
      <c r="R18" s="114">
        <f>AVERAGEIF('Sales Log'!$T$14:$T$213,R2,'Sales Log'!$AB$14:$AB$213)</f>
        <v>477.77777777777777</v>
      </c>
      <c r="S18" s="114">
        <f>AVERAGEIF('Sales Log'!$T$14:$T$213,S2,'Sales Log'!$AB$14:$AB$213)</f>
        <v>816.66666666666663</v>
      </c>
      <c r="T18" s="114">
        <f>AVERAGEIF('Sales Log'!$T$14:$T$213,T2,'Sales Log'!$AB$14:$AB$213)</f>
        <v>1250</v>
      </c>
      <c r="U18" s="114">
        <f>AVERAGEIF('Sales Log'!$T$14:$T$213,U2,'Sales Log'!$AB$14:$AB$213)</f>
        <v>550</v>
      </c>
      <c r="V18" s="114">
        <f>AVERAGEIF('Sales Log'!$T$14:$T$213,V2,'Sales Log'!$AB$14:$AB$213)</f>
        <v>900</v>
      </c>
      <c r="W18" s="114">
        <f>AVERAGEIF('Sales Log'!$T$14:$T$213,W2,'Sales Log'!$AB$14:$AB$213)</f>
        <v>1400</v>
      </c>
      <c r="X18" s="114">
        <f>AVERAGEIF('Sales Log'!$T$14:$T$213,X2,'Sales Log'!$AB$14:$AB$213)</f>
        <v>0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E2" sqref="E2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12" width="19.6640625" customWidth="1"/>
  </cols>
  <sheetData>
    <row r="1" spans="1:12" ht="22.5" customHeight="1">
      <c r="A1" s="20" t="s">
        <v>138</v>
      </c>
      <c r="B1" s="21"/>
      <c r="C1" s="43" t="s">
        <v>139</v>
      </c>
    </row>
    <row r="2" spans="1:12" ht="22.5" customHeight="1">
      <c r="A2" s="22" t="s">
        <v>92</v>
      </c>
      <c r="B2" s="22" t="s">
        <v>140</v>
      </c>
      <c r="C2" s="29" t="s">
        <v>155</v>
      </c>
      <c r="D2" s="29" t="s">
        <v>156</v>
      </c>
      <c r="E2" s="29" t="s">
        <v>157</v>
      </c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141</v>
      </c>
      <c r="B3" s="14">
        <f>COUNTIFS('Sales Log'!$I$14:$I$213,"No")/B4</f>
        <v>0.3300970873786408</v>
      </c>
      <c r="C3" s="14">
        <f>COUNTIFS('Sales Log'!$I$14:$I$213,"No",'Sales Log'!$V$14:$V$213,C2)/C4</f>
        <v>0.3</v>
      </c>
      <c r="D3" s="14">
        <f>COUNTIFS('Sales Log'!$I$14:$I$213,"No",'Sales Log'!$V$14:$V$213,D2)/D4</f>
        <v>0.35483870967741937</v>
      </c>
      <c r="E3" s="14">
        <f>COUNTIFS('Sales Log'!$I$14:$I$213,"No",'Sales Log'!$V$14:$V$213,E2)/E4</f>
        <v>0.33333333333333331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124</v>
      </c>
      <c r="B4" s="6">
        <f>'Scoreboard Total'!B3</f>
        <v>103</v>
      </c>
      <c r="C4" s="39">
        <f>COUNTIF('Sales Log'!$V$14:$V$213,C2)</f>
        <v>30</v>
      </c>
      <c r="D4" s="39">
        <f>COUNTIF('Sales Log'!$V$14:$V$213,D2)</f>
        <v>31</v>
      </c>
      <c r="E4" s="39">
        <f>COUNTIF('Sales Log'!$V$14:$V$213,E2)</f>
        <v>42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125</v>
      </c>
      <c r="B5" s="7">
        <f>'Sales Log'!$F$214</f>
        <v>37.291262135922331</v>
      </c>
      <c r="C5" s="24">
        <f ca="1">AVERAGEIF('Sales Log'!$V$14:$V$213,C2,'Sales Log'!$F$14:$F$209)</f>
        <v>38.200000000000003</v>
      </c>
      <c r="D5" s="24">
        <f ca="1">AVERAGEIF('Sales Log'!$V$14:$V$213,D2,'Sales Log'!$F$14:$F$209)</f>
        <v>39.903225806451616</v>
      </c>
      <c r="E5" s="24">
        <f ca="1">AVERAGEIF('Sales Log'!$V$14:$V$213,E2,'Sales Log'!$F$14:$F$209)</f>
        <v>34.714285714285715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126</v>
      </c>
      <c r="B6" s="8">
        <f>'Sales Log'!$J$214</f>
        <v>23967.126213592233</v>
      </c>
      <c r="C6" s="8">
        <f>AVERAGEIF('Sales Log'!$V$14:$V$213,C2,'Sales Log'!$J$14:$J$213)</f>
        <v>23591.666666666668</v>
      </c>
      <c r="D6" s="8">
        <f>AVERAGEIF('Sales Log'!$V$14:$V$213,D2,'Sales Log'!$J$14:$J$213)</f>
        <v>25635.774193548386</v>
      </c>
      <c r="E6" s="8">
        <f>AVERAGEIF('Sales Log'!$V$14:$V$213,E2,'Sales Log'!$J$14:$J$213)</f>
        <v>23003.690476190477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127</v>
      </c>
      <c r="B7" s="8">
        <f>'Sales Log'!$K$214</f>
        <v>24154.252427184467</v>
      </c>
      <c r="C7" s="8">
        <f>AVERAGEIF('Sales Log'!$V$14:$V$213,C2,'Sales Log'!$K$14:$K$213)</f>
        <v>23701.7</v>
      </c>
      <c r="D7" s="8">
        <f>AVERAGEIF('Sales Log'!$V$14:$V$213,D2,'Sales Log'!$K$14:$K$213)</f>
        <v>26066.032258064515</v>
      </c>
      <c r="E7" s="8">
        <f>AVERAGEIF('Sales Log'!$V$14:$V$213,E2,'Sales Log'!$K$14:$K$213)</f>
        <v>23066.428571428572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128</v>
      </c>
      <c r="B8" s="8">
        <f>'Sales Log'!$M$214</f>
        <v>26662.088273382135</v>
      </c>
      <c r="C8" s="8">
        <f>AVERAGEIF('Sales Log'!$V$14:$V$213,C2,'Sales Log'!$M$14:$M$213)</f>
        <v>26407.603109833883</v>
      </c>
      <c r="D8" s="8" t="e">
        <f>AVERAGEIF('Sales Log'!$V$14:$V$213,D2,'Sales Log'!$M$14:$M$213)</f>
        <v>#VALUE!</v>
      </c>
      <c r="E8" s="8">
        <f>AVERAGEIF('Sales Log'!$V$14:$V$213,E2,'Sales Log'!$M$14:$M$213)</f>
        <v>25666.941550471842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129</v>
      </c>
      <c r="B9" s="9">
        <f>'Sales Log'!L214</f>
        <v>0.89892156862745098</v>
      </c>
      <c r="C9" s="14">
        <f>C6/C8</f>
        <v>0.89336645088707078</v>
      </c>
      <c r="D9" s="14" t="e">
        <f t="shared" ref="D9:L9" si="0">D6/D8</f>
        <v>#VALUE!</v>
      </c>
      <c r="E9" s="14">
        <f t="shared" si="0"/>
        <v>0.89623808239698877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130</v>
      </c>
      <c r="B10" s="9">
        <f>'Sales Log'!$N$214</f>
        <v>0.90594000663101304</v>
      </c>
      <c r="C10" s="14">
        <f>C7/C8</f>
        <v>0.89753318017619577</v>
      </c>
      <c r="D10" s="14" t="e">
        <f t="shared" ref="D10:L10" si="1">D7/D8</f>
        <v>#VALUE!</v>
      </c>
      <c r="E10" s="14">
        <f t="shared" si="1"/>
        <v>0.89868239759187574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131</v>
      </c>
      <c r="B11" s="8">
        <f>'Sales Log'!$O$214</f>
        <v>-187.126213592233</v>
      </c>
      <c r="C11" s="8">
        <f>AVERAGEIF('Sales Log'!$V$14:$V$213,C2,'Sales Log'!$O$14:$O$213)</f>
        <v>-110.03333333333333</v>
      </c>
      <c r="D11" s="8">
        <f>AVERAGEIF('Sales Log'!$V$14:$V$213,D2,'Sales Log'!$O$14:$O$213)</f>
        <v>-430.25806451612902</v>
      </c>
      <c r="E11" s="8">
        <f>AVERAGEIF('Sales Log'!$V$14:$V$213,E2,'Sales Log'!$O$14:$O$213)</f>
        <v>-62.738095238095241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132</v>
      </c>
      <c r="B12" s="8">
        <f>'Sales Log'!$P$214</f>
        <v>849.495145631068</v>
      </c>
      <c r="C12" s="8">
        <f>AVERAGEIF('Sales Log'!$V$14:$V$213,C2,'Sales Log'!$P$14:$P$213)</f>
        <v>463.4</v>
      </c>
      <c r="D12" s="8">
        <f>AVERAGEIF('Sales Log'!$V$14:$V$213,D2,'Sales Log'!$P$14:$P$213)</f>
        <v>1412.7096774193549</v>
      </c>
      <c r="E12" s="8">
        <f>AVERAGEIF('Sales Log'!$V$14:$V$213,E2,'Sales Log'!$P$14:$P$213)</f>
        <v>709.57142857142856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133</v>
      </c>
      <c r="B13" s="8">
        <f>'Sales Log'!$Q$214</f>
        <v>2359.3592233009708</v>
      </c>
      <c r="C13" s="8">
        <f>AVERAGEIF('Sales Log'!$V$14:$V$213,C2,'Sales Log'!$Q$14:$Q$213)</f>
        <v>2124.0333333333333</v>
      </c>
      <c r="D13" s="8">
        <f>AVERAGEIF('Sales Log'!$V$14:$V$213,D2,'Sales Log'!$Q$14:$Q$213)</f>
        <v>2077.7741935483873</v>
      </c>
      <c r="E13" s="8">
        <f>AVERAGEIF('Sales Log'!$V$14:$V$213,E2,'Sales Log'!$Q$14:$Q$213)</f>
        <v>2735.2857142857142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134</v>
      </c>
      <c r="B14" s="8">
        <f>'Sales Log'!$R$214</f>
        <v>3208.8543689320391</v>
      </c>
      <c r="C14" s="8">
        <f>AVERAGEIF('Sales Log'!$V$14:$V$213,C2,'Sales Log'!$R$14:$R$213)</f>
        <v>2587.4333333333334</v>
      </c>
      <c r="D14" s="8">
        <f>AVERAGEIF('Sales Log'!$V$14:$V$213,D2,'Sales Log'!$R$14:$R$213)</f>
        <v>3490.483870967742</v>
      </c>
      <c r="E14" s="8">
        <f>AVERAGEIF('Sales Log'!$V$14:$V$213,E2,'Sales Log'!$R$14:$R$213)</f>
        <v>3444.8571428571427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135</v>
      </c>
      <c r="B15" s="10">
        <f t="shared" ref="B15:L15" si="2">B14*B4</f>
        <v>330512</v>
      </c>
      <c r="C15" s="10">
        <f t="shared" si="2"/>
        <v>77623</v>
      </c>
      <c r="D15" s="10">
        <f t="shared" si="2"/>
        <v>108205</v>
      </c>
      <c r="E15" s="10">
        <f t="shared" si="2"/>
        <v>144684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89</v>
      </c>
      <c r="B16" s="9">
        <f>(B14/(B7)*(360/B5))</f>
        <v>1.2824836145747567</v>
      </c>
      <c r="C16" s="9">
        <f t="shared" ref="C16:L16" ca="1" si="3">(C14/(C7)*(360/C5))</f>
        <v>1.0287949168909989</v>
      </c>
      <c r="D16" s="9">
        <f t="shared" ca="1" si="3"/>
        <v>1.2081064475488106</v>
      </c>
      <c r="E16" s="9">
        <f t="shared" ca="1" si="3"/>
        <v>1.5487635779339861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136</v>
      </c>
      <c r="B17" s="9">
        <f>'Sales Log'!AA214/'Scoreboard Total'!B3</f>
        <v>0.27184466019417475</v>
      </c>
      <c r="C17" s="9">
        <f>COUNTIFS('Sales Log'!$V$14:$V$213,'Scoreboard DM'!C$2,'Sales Log'!$AA$14:$AA$213,"Yes")/C$4</f>
        <v>0</v>
      </c>
      <c r="D17" s="9">
        <f>COUNTIFS('Sales Log'!$V$14:$V$213,'Scoreboard DM'!D$2,'Sales Log'!$AA$14:$AA$213,"Yes")/D$4</f>
        <v>0</v>
      </c>
      <c r="E17" s="9">
        <f>COUNTIFS('Sales Log'!$V$14:$V$213,'Scoreboard DM'!E$2,'Sales Log'!$AA$14:$AA$213,"Yes")/E$4</f>
        <v>0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137</v>
      </c>
      <c r="B18" s="114">
        <f>'Sales Log'!$AB$214</f>
        <v>277.99029126213594</v>
      </c>
      <c r="C18" s="114">
        <f>AVERAGEIF('Sales Log'!$V$14:$V$213,C2,'Sales Log'!$AB$14:$AB$213)</f>
        <v>73.333333333333329</v>
      </c>
      <c r="D18" s="114">
        <f>AVERAGEIF('Sales Log'!$V$14:$V$213,D2,'Sales Log'!$AB$14:$AB$213)</f>
        <v>454.29032258064518</v>
      </c>
      <c r="E18" s="114">
        <f>AVERAGEIF('Sales Log'!$V$14:$V$213,E2,'Sales Log'!$AB$14:$AB$213)</f>
        <v>294.04761904761904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3" width="19.6640625" customWidth="1"/>
    <col min="4" max="4" width="20.5" customWidth="1"/>
  </cols>
  <sheetData>
    <row r="1" spans="1:4" ht="22.5" customHeight="1">
      <c r="A1" s="25" t="s">
        <v>138</v>
      </c>
      <c r="B1" s="26"/>
      <c r="C1" s="27"/>
      <c r="D1" s="27"/>
    </row>
    <row r="2" spans="1:4" ht="22.5" customHeight="1">
      <c r="A2" s="28" t="s">
        <v>78</v>
      </c>
      <c r="B2" s="28" t="s">
        <v>140</v>
      </c>
      <c r="C2" s="23" t="s">
        <v>107</v>
      </c>
      <c r="D2" s="23" t="s">
        <v>103</v>
      </c>
    </row>
    <row r="3" spans="1:4" ht="22.5" customHeight="1">
      <c r="A3" s="5" t="s">
        <v>124</v>
      </c>
      <c r="B3" s="6">
        <f>'Sales Log'!D214</f>
        <v>103</v>
      </c>
      <c r="C3" s="6">
        <f>COUNTIF('Sales Log'!$H$14:$H$213,C2)</f>
        <v>0</v>
      </c>
      <c r="D3" s="6">
        <f>COUNTIF('Sales Log'!$H$14:$H$213,D2)</f>
        <v>103</v>
      </c>
    </row>
    <row r="4" spans="1:4" ht="22.5" customHeight="1">
      <c r="A4" s="5" t="s">
        <v>125</v>
      </c>
      <c r="B4" s="7">
        <f>'Sales Log'!$F$214</f>
        <v>37.291262135922331</v>
      </c>
      <c r="C4" s="24" t="e">
        <f ca="1">AVERAGEIF('Sales Log'!$H$14:$H$213,C2,'Sales Log'!$F$14:$F$209)</f>
        <v>#DIV/0!</v>
      </c>
      <c r="D4" s="24">
        <f ca="1">AVERAGEIF('Sales Log'!$H$14:$H$213,D2,'Sales Log'!$F$14:$F$209)</f>
        <v>37.291262135922331</v>
      </c>
    </row>
    <row r="5" spans="1:4" ht="22.5" customHeight="1">
      <c r="A5" s="5" t="s">
        <v>126</v>
      </c>
      <c r="B5" s="8">
        <f>'Sales Log'!$J$214</f>
        <v>23967.126213592233</v>
      </c>
      <c r="C5" s="8" t="e">
        <f>AVERAGEIF('Sales Log'!$H$14:$H$213,C2,'Sales Log'!J14:J213)</f>
        <v>#DIV/0!</v>
      </c>
      <c r="D5" s="8">
        <f>AVERAGEIF('Sales Log'!$H$14:$H$213,D2,'Sales Log'!K14:K213)</f>
        <v>24154.252427184467</v>
      </c>
    </row>
    <row r="6" spans="1:4" ht="22.5" customHeight="1">
      <c r="A6" s="5" t="s">
        <v>127</v>
      </c>
      <c r="B6" s="8">
        <f>'Sales Log'!$K$214</f>
        <v>24154.252427184467</v>
      </c>
      <c r="C6" s="8" t="e">
        <f>AVERAGEIF('Sales Log'!$H$14:$H$213,C2,'Sales Log'!$K$14:$K$213)</f>
        <v>#DIV/0!</v>
      </c>
      <c r="D6" s="8">
        <f>AVERAGEIF('Sales Log'!$H$14:$H$213,D2,'Sales Log'!$K$14:$K$213)</f>
        <v>24154.252427184467</v>
      </c>
    </row>
    <row r="7" spans="1:4" ht="22.5" customHeight="1">
      <c r="A7" s="5" t="s">
        <v>128</v>
      </c>
      <c r="B7" s="8">
        <f>'Sales Log'!$M$214</f>
        <v>26662.088273382135</v>
      </c>
      <c r="C7" s="8" t="e">
        <f>AVERAGEIF('Sales Log'!$H$14:$H$213,C2,'Sales Log'!$M$14:$M$213)</f>
        <v>#DIV/0!</v>
      </c>
      <c r="D7" s="8" t="e">
        <f>AVERAGEIF('Sales Log'!$H$14:$H$213,D2,'Sales Log'!$M$14:$M$213)</f>
        <v>#VALUE!</v>
      </c>
    </row>
    <row r="8" spans="1:4" ht="22.5" customHeight="1">
      <c r="A8" s="5" t="s">
        <v>129</v>
      </c>
      <c r="B8" s="9">
        <f>'Sales Log'!L214</f>
        <v>0.89892156862745098</v>
      </c>
      <c r="C8" s="14" t="e">
        <f>C5/C7</f>
        <v>#DIV/0!</v>
      </c>
      <c r="D8" s="14" t="e">
        <f>D5/D7</f>
        <v>#VALUE!</v>
      </c>
    </row>
    <row r="9" spans="1:4" ht="22.5" customHeight="1">
      <c r="A9" s="5" t="s">
        <v>130</v>
      </c>
      <c r="B9" s="9">
        <f>'Sales Log'!$N$214</f>
        <v>0.90594000663101304</v>
      </c>
      <c r="C9" s="14" t="e">
        <f>C6/C7</f>
        <v>#DIV/0!</v>
      </c>
      <c r="D9" s="14" t="e">
        <f>D6/D7</f>
        <v>#VALUE!</v>
      </c>
    </row>
    <row r="10" spans="1:4" ht="22.5" customHeight="1">
      <c r="A10" s="5" t="s">
        <v>131</v>
      </c>
      <c r="B10" s="8">
        <f>'Sales Log'!$O$214</f>
        <v>-187.126213592233</v>
      </c>
      <c r="C10" s="8" t="e">
        <f>AVERAGEIF('Sales Log'!$H$14:$H$213,C2,'Sales Log'!$O$14:$O$213)</f>
        <v>#DIV/0!</v>
      </c>
      <c r="D10" s="8">
        <f>AVERAGEIF('Sales Log'!$H$14:$H$213,D2,'Sales Log'!$O$14:$O$213)</f>
        <v>-187.126213592233</v>
      </c>
    </row>
    <row r="11" spans="1:4" ht="22.5" customHeight="1">
      <c r="A11" s="5" t="s">
        <v>132</v>
      </c>
      <c r="B11" s="8">
        <f>'Sales Log'!$P$214</f>
        <v>849.495145631068</v>
      </c>
      <c r="C11" s="8" t="e">
        <f>AVERAGEIF('Sales Log'!$H$14:$H$213,C2,'Sales Log'!$P$14:$P$213)</f>
        <v>#DIV/0!</v>
      </c>
      <c r="D11" s="8">
        <f>AVERAGEIF('Sales Log'!$H$14:$H$213,D2,'Sales Log'!$P$14:$P$213)</f>
        <v>849.495145631068</v>
      </c>
    </row>
    <row r="12" spans="1:4" ht="22.5" customHeight="1">
      <c r="A12" s="5" t="s">
        <v>133</v>
      </c>
      <c r="B12" s="8">
        <f>'Sales Log'!$Q$214</f>
        <v>2359.3592233009708</v>
      </c>
      <c r="C12" s="8" t="e">
        <f>AVERAGEIF('Sales Log'!$H$14:$H$213,C2,'Sales Log'!$Q$14:$Q$213)</f>
        <v>#DIV/0!</v>
      </c>
      <c r="D12" s="8">
        <f>AVERAGEIF('Sales Log'!$H$14:$H$213,D2,'Sales Log'!$Q$14:$Q$213)</f>
        <v>2359.3592233009708</v>
      </c>
    </row>
    <row r="13" spans="1:4" ht="22.5" customHeight="1">
      <c r="A13" s="5" t="s">
        <v>134</v>
      </c>
      <c r="B13" s="8">
        <f>'Sales Log'!$R$214</f>
        <v>3208.8543689320391</v>
      </c>
      <c r="C13" s="8" t="e">
        <f>AVERAGEIF('Sales Log'!$H$14:$H$213,C2,'Sales Log'!$R$14:$R$213)</f>
        <v>#DIV/0!</v>
      </c>
      <c r="D13" s="8">
        <f>AVERAGEIF('Sales Log'!$H$14:$H$213,D2,'Sales Log'!$R$14:$R$213)</f>
        <v>3208.8543689320391</v>
      </c>
    </row>
    <row r="14" spans="1:4" ht="22.5" customHeight="1">
      <c r="A14" s="5" t="s">
        <v>135</v>
      </c>
      <c r="B14" s="10">
        <f>B13*B3</f>
        <v>330512</v>
      </c>
      <c r="C14" s="10" t="e">
        <f>C13*C3</f>
        <v>#DIV/0!</v>
      </c>
      <c r="D14" s="10">
        <f t="shared" ref="D14" si="0">D13*D3</f>
        <v>330512</v>
      </c>
    </row>
    <row r="15" spans="1:4" ht="22.5" customHeight="1">
      <c r="A15" s="5" t="s">
        <v>89</v>
      </c>
      <c r="B15" s="9">
        <f>(B13/(B6)*(360/B4))</f>
        <v>1.2824836145747567</v>
      </c>
      <c r="C15" s="9" t="e">
        <f t="shared" ref="C15:D15" ca="1" si="1">(C13/(C6)*(360/C4))</f>
        <v>#DIV/0!</v>
      </c>
      <c r="D15" s="9">
        <f t="shared" ca="1" si="1"/>
        <v>1.2824836145747567</v>
      </c>
    </row>
    <row r="16" spans="1:4" ht="22.5" customHeight="1">
      <c r="A16" s="5" t="s">
        <v>136</v>
      </c>
      <c r="B16" s="9">
        <f>'Sales Log'!AA214/'Scoreboard Total'!B3</f>
        <v>0.27184466019417475</v>
      </c>
      <c r="C16" s="9" t="e">
        <f>COUNTIFS('Sales Log'!$H$14:$H$213,C2,'Sales Log'!$AA$14:$AA$213,"Yes")/C$3</f>
        <v>#DIV/0!</v>
      </c>
      <c r="D16" s="9">
        <f>COUNTIFS('Sales Log'!$H$14:$H$213,D2,'Sales Log'!$AA$14:$AA$213,"Yes")/D$3</f>
        <v>0.27184466019417475</v>
      </c>
    </row>
    <row r="17" spans="1:4" ht="22.5" customHeight="1">
      <c r="A17" s="5" t="s">
        <v>137</v>
      </c>
      <c r="B17" s="114">
        <f>'Sales Log'!$AB$214</f>
        <v>277.99029126213594</v>
      </c>
      <c r="C17" s="114" t="e">
        <f>AVERAGEIF('Sales Log'!$H$14:$H$213,C2,'Sales Log'!$AB$14:$AB$213)</f>
        <v>#DIV/0!</v>
      </c>
      <c r="D17" s="114">
        <f>AVERAGEIF('Sales Log'!$H$14:$H$213,D2,'Sales Log'!$AB$14:$AB$213)</f>
        <v>277.99029126213594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baseColWidth="10" defaultColWidth="8.83203125" defaultRowHeight="15"/>
  <cols>
    <col min="1" max="1" width="37.6640625" bestFit="1" customWidth="1"/>
    <col min="2" max="2" width="13.5" customWidth="1"/>
    <col min="3" max="3" width="19.6640625" customWidth="1"/>
    <col min="4" max="4" width="20.5" customWidth="1"/>
  </cols>
  <sheetData>
    <row r="1" spans="1:4" ht="22.5" customHeight="1">
      <c r="A1" s="25" t="s">
        <v>138</v>
      </c>
      <c r="B1" s="26"/>
      <c r="C1" s="27"/>
      <c r="D1" s="27"/>
    </row>
    <row r="2" spans="1:4" ht="22.5" customHeight="1">
      <c r="A2" s="28" t="s">
        <v>79</v>
      </c>
      <c r="B2" s="28" t="s">
        <v>140</v>
      </c>
      <c r="C2" s="23" t="s">
        <v>107</v>
      </c>
      <c r="D2" s="23" t="s">
        <v>103</v>
      </c>
    </row>
    <row r="3" spans="1:4" ht="22.5" customHeight="1">
      <c r="A3" s="5" t="s">
        <v>124</v>
      </c>
      <c r="B3" s="6">
        <f>'Sales Log'!D214</f>
        <v>103</v>
      </c>
      <c r="C3" s="6">
        <f>COUNTIF('Sales Log'!$I$14:$I$213,C2)</f>
        <v>69</v>
      </c>
      <c r="D3" s="6">
        <f>COUNTIF('Sales Log'!$I$14:$I$213,D2)</f>
        <v>34</v>
      </c>
    </row>
    <row r="4" spans="1:4" ht="22.5" customHeight="1">
      <c r="A4" s="5" t="s">
        <v>125</v>
      </c>
      <c r="B4" s="7">
        <f>'Sales Log'!$F$214</f>
        <v>37.291262135922331</v>
      </c>
      <c r="C4" s="24">
        <f ca="1">AVERAGEIF('Sales Log'!$I$14:$I$213,C2,'Sales Log'!$F$14:$F$209)</f>
        <v>39.724637681159422</v>
      </c>
      <c r="D4" s="24">
        <f ca="1">AVERAGEIF('Sales Log'!$I$14:$I$213,D2,'Sales Log'!$F$14:$F$209)</f>
        <v>32.352941176470587</v>
      </c>
    </row>
    <row r="5" spans="1:4" ht="22.5" customHeight="1">
      <c r="A5" s="5" t="s">
        <v>126</v>
      </c>
      <c r="B5" s="8">
        <f>'Sales Log'!$J$214</f>
        <v>23967.126213592233</v>
      </c>
      <c r="C5" s="8">
        <f>AVERAGEIF('Sales Log'!$I$14:$I$213,C2,'Sales Log'!J14:J213)</f>
        <v>24340.63768115942</v>
      </c>
      <c r="D5" s="8">
        <f>AVERAGEIF('Sales Log'!$I$14:$I$213,D2,'Sales Log'!K14:K213)</f>
        <v>23031.529411764706</v>
      </c>
    </row>
    <row r="6" spans="1:4" ht="22.5" customHeight="1">
      <c r="A6" s="5" t="s">
        <v>127</v>
      </c>
      <c r="B6" s="8">
        <f>'Sales Log'!$K$214</f>
        <v>24154.252427184467</v>
      </c>
      <c r="C6" s="8">
        <f>AVERAGEIF('Sales Log'!$I$14:$I$213,C2,'Sales Log'!$K$14:$K$213)</f>
        <v>24707.478260869564</v>
      </c>
      <c r="D6" s="8">
        <f>AVERAGEIF('Sales Log'!$I$14:$I$213,D2,'Sales Log'!$K$14:$K$213)</f>
        <v>23031.529411764706</v>
      </c>
    </row>
    <row r="7" spans="1:4" ht="22.5" customHeight="1">
      <c r="A7" s="5" t="s">
        <v>128</v>
      </c>
      <c r="B7" s="8">
        <f>'Sales Log'!$M$214</f>
        <v>26662.088273382135</v>
      </c>
      <c r="C7" s="8" t="e">
        <f>AVERAGEIF('Sales Log'!$I$14:$I$213,C2,'Sales Log'!$M$14:$M$213)</f>
        <v>#VALUE!</v>
      </c>
      <c r="D7" s="8">
        <f>AVERAGEIF('Sales Log'!$I$14:$I$213,D2,'Sales Log'!$M$14:$M$213)</f>
        <v>25545.165485362886</v>
      </c>
    </row>
    <row r="8" spans="1:4" ht="22.5" customHeight="1">
      <c r="A8" s="5" t="s">
        <v>129</v>
      </c>
      <c r="B8" s="9">
        <f>'Sales Log'!L214</f>
        <v>0.89892156862745098</v>
      </c>
      <c r="C8" s="14" t="e">
        <f>C5/C7</f>
        <v>#VALUE!</v>
      </c>
      <c r="D8" s="14">
        <f>D5/D7</f>
        <v>0.90160032139786028</v>
      </c>
    </row>
    <row r="9" spans="1:4" ht="22.5" customHeight="1">
      <c r="A9" s="5" t="s">
        <v>130</v>
      </c>
      <c r="B9" s="9">
        <f>'Sales Log'!$N$214</f>
        <v>0.90594000663101304</v>
      </c>
      <c r="C9" s="14" t="e">
        <f>C6/C7</f>
        <v>#VALUE!</v>
      </c>
      <c r="D9" s="14">
        <f>D6/D7</f>
        <v>0.90160032139786028</v>
      </c>
    </row>
    <row r="10" spans="1:4" ht="22.5" customHeight="1">
      <c r="A10" s="5" t="s">
        <v>131</v>
      </c>
      <c r="B10" s="8">
        <f>'Sales Log'!$O$214</f>
        <v>-187.126213592233</v>
      </c>
      <c r="C10" s="8">
        <f>AVERAGEIF('Sales Log'!$I$14:$I$213,C2,'Sales Log'!$O$14:$O$213)</f>
        <v>-366.84057971014494</v>
      </c>
      <c r="D10" s="8">
        <f>AVERAGEIF('Sales Log'!$I$14:$I$213,D2,'Sales Log'!$O$14:$O$213)</f>
        <v>177.58823529411765</v>
      </c>
    </row>
    <row r="11" spans="1:4" ht="22.5" customHeight="1">
      <c r="A11" s="5" t="s">
        <v>132</v>
      </c>
      <c r="B11" s="8">
        <f>'Sales Log'!$P$214</f>
        <v>849.495145631068</v>
      </c>
      <c r="C11" s="8">
        <f>AVERAGEIF('Sales Log'!$I$14:$I$213,C2,'Sales Log'!$P$14:$P$213)</f>
        <v>978.60869565217388</v>
      </c>
      <c r="D11" s="8">
        <f>AVERAGEIF('Sales Log'!$I$14:$I$213,D2,'Sales Log'!$P$14:$P$213)</f>
        <v>587.47058823529414</v>
      </c>
    </row>
    <row r="12" spans="1:4" ht="22.5" customHeight="1">
      <c r="A12" s="5" t="s">
        <v>133</v>
      </c>
      <c r="B12" s="8">
        <f>'Sales Log'!$Q$214</f>
        <v>2359.3592233009708</v>
      </c>
      <c r="C12" s="8">
        <f>AVERAGEIF('Sales Log'!$I$14:$I$213,C2,'Sales Log'!$Q$14:$Q$213)</f>
        <v>2527.840579710145</v>
      </c>
      <c r="D12" s="8">
        <f>AVERAGEIF('Sales Log'!$I$14:$I$213,D2,'Sales Log'!$Q$14:$Q$213)</f>
        <v>2017.4411764705883</v>
      </c>
    </row>
    <row r="13" spans="1:4" ht="22.5" customHeight="1">
      <c r="A13" s="5" t="s">
        <v>134</v>
      </c>
      <c r="B13" s="8">
        <f>'Sales Log'!$R$214</f>
        <v>3208.8543689320391</v>
      </c>
      <c r="C13" s="8">
        <f>AVERAGEIF('Sales Log'!$I$14:$I$213,C2,'Sales Log'!$R$14:$R$213)</f>
        <v>3506.449275362319</v>
      </c>
      <c r="D13" s="8">
        <f>AVERAGEIF('Sales Log'!$I$14:$I$213,D2,'Sales Log'!$R$14:$R$213)</f>
        <v>2604.9117647058824</v>
      </c>
    </row>
    <row r="14" spans="1:4" ht="22.5" customHeight="1">
      <c r="A14" s="5" t="s">
        <v>135</v>
      </c>
      <c r="B14" s="10">
        <f>B13*B3</f>
        <v>330512</v>
      </c>
      <c r="C14" s="10">
        <f>C13*C3</f>
        <v>241945</v>
      </c>
      <c r="D14" s="10">
        <f t="shared" ref="D14" si="0">D13*D3</f>
        <v>88567</v>
      </c>
    </row>
    <row r="15" spans="1:4" ht="22.5" customHeight="1">
      <c r="A15" s="5" t="s">
        <v>89</v>
      </c>
      <c r="B15" s="9">
        <f>(B13/(B6)*(360/B4))</f>
        <v>1.2824836145747567</v>
      </c>
      <c r="C15" s="9">
        <f t="shared" ref="C15:D15" ca="1" si="1">(C13/(C6)*(360/C4))</f>
        <v>1.2861206009768851</v>
      </c>
      <c r="D15" s="9">
        <f t="shared" ca="1" si="1"/>
        <v>1.2585166672239125</v>
      </c>
    </row>
    <row r="16" spans="1:4" ht="22.5" customHeight="1">
      <c r="A16" s="5" t="s">
        <v>136</v>
      </c>
      <c r="B16" s="9">
        <f>'Sales Log'!AA214/'Scoreboard Total'!B3</f>
        <v>0.27184466019417475</v>
      </c>
      <c r="C16" s="9">
        <f>COUNTIFS('Sales Log'!$I$14:$I$213,C2,'Sales Log'!$AA$14:$AA$213,"Yes")/C$3</f>
        <v>0.30434782608695654</v>
      </c>
      <c r="D16" s="9">
        <f>COUNTIFS('Sales Log'!$I$14:$I$213,D2,'Sales Log'!$AA$14:$AA$213,"Yes")/D$3</f>
        <v>0.20588235294117646</v>
      </c>
    </row>
    <row r="17" spans="1:4" ht="22.5" customHeight="1">
      <c r="A17" s="5" t="s">
        <v>137</v>
      </c>
      <c r="B17" s="114">
        <f>'Sales Log'!$AB$214</f>
        <v>277.99029126213594</v>
      </c>
      <c r="C17" s="114">
        <f>AVERAGEIF('Sales Log'!$I$14:$I$213,C2,'Sales Log'!$AB$14:$AB$213)</f>
        <v>309.17391304347825</v>
      </c>
      <c r="D17" s="114">
        <f>AVERAGEIF('Sales Log'!$I$14:$I$213,D2,'Sales Log'!$AB$14:$AB$213)</f>
        <v>214.70588235294119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baseColWidth="10" defaultColWidth="8.83203125" defaultRowHeight="15"/>
  <cols>
    <col min="1" max="1" width="31.33203125" bestFit="1" customWidth="1"/>
    <col min="2" max="2" width="10.6640625" customWidth="1"/>
    <col min="3" max="9" width="20.6640625" customWidth="1"/>
    <col min="10" max="10" width="28.5" bestFit="1" customWidth="1"/>
    <col min="11" max="11" width="20.6640625" customWidth="1"/>
  </cols>
  <sheetData>
    <row r="1" spans="1:11" ht="22.5" customHeight="1">
      <c r="A1" s="25" t="s">
        <v>138</v>
      </c>
      <c r="B1" s="21"/>
    </row>
    <row r="2" spans="1:11" ht="22.5" customHeight="1">
      <c r="A2" s="28" t="s">
        <v>143</v>
      </c>
      <c r="B2" s="22" t="s">
        <v>140</v>
      </c>
      <c r="C2" s="32" t="s">
        <v>102</v>
      </c>
      <c r="D2" s="32" t="s">
        <v>109</v>
      </c>
      <c r="E2" s="32" t="s">
        <v>144</v>
      </c>
      <c r="F2" s="32" t="s">
        <v>145</v>
      </c>
      <c r="G2" s="32" t="s">
        <v>114</v>
      </c>
      <c r="H2" s="32" t="s">
        <v>146</v>
      </c>
      <c r="I2" s="32" t="s">
        <v>147</v>
      </c>
      <c r="J2" s="32" t="s">
        <v>118</v>
      </c>
      <c r="K2" s="32" t="s">
        <v>119</v>
      </c>
    </row>
    <row r="3" spans="1:11" ht="22.5" customHeight="1">
      <c r="A3" s="5" t="s">
        <v>124</v>
      </c>
      <c r="B3" s="6">
        <f>'Scoreboard Total'!B3</f>
        <v>103</v>
      </c>
      <c r="C3" s="6">
        <f>COUNTIF('Sales Log'!$G$14:$G$213,'Scoreboard by Source'!C2)</f>
        <v>25</v>
      </c>
      <c r="D3" s="6">
        <f>COUNTIF('Sales Log'!$G$14:$G$213,'Scoreboard by Source'!D2)</f>
        <v>5</v>
      </c>
      <c r="E3" s="6">
        <f>COUNTIF('Sales Log'!$G$14:$G$213,'Scoreboard by Source'!E2)</f>
        <v>4</v>
      </c>
      <c r="F3" s="6">
        <f>COUNTIF('Sales Log'!$G$14:$G$213,'Scoreboard by Source'!F2)</f>
        <v>47</v>
      </c>
      <c r="G3" s="6">
        <f>COUNTIF('Sales Log'!$G$14:$G$213,'Scoreboard by Source'!G2)</f>
        <v>0</v>
      </c>
      <c r="H3" s="6">
        <f>COUNTIF('Sales Log'!$G$14:$G$213,'Scoreboard by Source'!H2)</f>
        <v>6</v>
      </c>
      <c r="I3" s="6">
        <f>COUNTIF('Sales Log'!$G$14:$G$213,'Scoreboard by Source'!I2)</f>
        <v>0</v>
      </c>
      <c r="J3" s="6">
        <f>COUNTIF('Sales Log'!$G$14:$G$213,'Scoreboard by Source'!J2)</f>
        <v>11</v>
      </c>
      <c r="K3" s="6">
        <f>COUNTIF('Sales Log'!$G$14:$G$213,'Scoreboard by Source'!K2)</f>
        <v>5</v>
      </c>
    </row>
    <row r="4" spans="1:11" ht="22.5" customHeight="1">
      <c r="A4" s="5" t="s">
        <v>148</v>
      </c>
      <c r="B4" s="9">
        <f>B3/'Sales Log'!$D$214</f>
        <v>1</v>
      </c>
      <c r="C4" s="9">
        <f>C3/'Sales Log'!$D$214</f>
        <v>0.24271844660194175</v>
      </c>
      <c r="D4" s="9">
        <f>D3/'Sales Log'!$D$214</f>
        <v>4.8543689320388349E-2</v>
      </c>
      <c r="E4" s="9">
        <f>E3/'Sales Log'!$D$214</f>
        <v>3.8834951456310676E-2</v>
      </c>
      <c r="F4" s="9">
        <f>F3/'Sales Log'!$D$214</f>
        <v>0.4563106796116505</v>
      </c>
      <c r="G4" s="9">
        <f>G3/'Sales Log'!$D$214</f>
        <v>0</v>
      </c>
      <c r="H4" s="9">
        <f>H3/'Sales Log'!$D$214</f>
        <v>5.8252427184466021E-2</v>
      </c>
      <c r="I4" s="9">
        <f>I3/'Sales Log'!$D$214</f>
        <v>0</v>
      </c>
      <c r="J4" s="9">
        <f>J3/'Sales Log'!$D$214</f>
        <v>0.10679611650485436</v>
      </c>
      <c r="K4" s="9">
        <f>K3/'Sales Log'!$D$214</f>
        <v>4.8543689320388349E-2</v>
      </c>
    </row>
    <row r="5" spans="1:11" ht="22.5" customHeight="1">
      <c r="A5" s="5" t="s">
        <v>141</v>
      </c>
      <c r="B5" s="14">
        <f>COUNTIFS('Sales Log'!$I$14:$I$213,"No")/B3</f>
        <v>0.3300970873786408</v>
      </c>
      <c r="C5" s="14">
        <f>COUNTIFS('Sales Log'!$I$14:$I$213,"No",'Sales Log'!$G$14:$G$213,'Scoreboard by Source'!C2)/C3</f>
        <v>0.32</v>
      </c>
      <c r="D5" s="14">
        <f>COUNTIFS('Sales Log'!$I$14:$I$213,"No",'Sales Log'!$G$14:$G$213,'Scoreboard by Source'!D2)/D3</f>
        <v>0.4</v>
      </c>
      <c r="E5" s="14">
        <f>COUNTIFS('Sales Log'!$I$14:$I$213,"No",'Sales Log'!$G$14:$G$213,'Scoreboard by Source'!E2)/E3</f>
        <v>0.25</v>
      </c>
      <c r="F5" s="14">
        <f>COUNTIFS('Sales Log'!$I$14:$I$213,"No",'Sales Log'!$G$14:$G$213,'Scoreboard by Source'!F2)/F3</f>
        <v>0.40425531914893614</v>
      </c>
      <c r="G5" s="14" t="e">
        <f>COUNTIFS('Sales Log'!$I$14:$I$213,"No",'Sales Log'!$G$14:$G$213,'Scoreboard by Source'!G2)/G3</f>
        <v>#DIV/0!</v>
      </c>
      <c r="H5" s="14">
        <f>COUNTIFS('Sales Log'!$I$14:$I$213,"No",'Sales Log'!$G$14:$G$213,'Scoreboard by Source'!H2)/H3</f>
        <v>0</v>
      </c>
      <c r="I5" s="14" t="e">
        <f>COUNTIFS('Sales Log'!$I$14:$I$213,"No",'Sales Log'!$G$14:$G$213,'Scoreboard by Source'!I2)/I3</f>
        <v>#DIV/0!</v>
      </c>
      <c r="J5" s="14">
        <f>COUNTIFS('Sales Log'!$I$14:$I$213,"No",'Sales Log'!$G$14:$G$213,'Scoreboard by Source'!J2)/J3</f>
        <v>0.27272727272727271</v>
      </c>
      <c r="K5" s="14">
        <f>COUNTIFS('Sales Log'!$I$14:$I$213,"No",'Sales Log'!$G$14:$G$213,'Scoreboard by Source'!K2)/K3</f>
        <v>0.2</v>
      </c>
    </row>
    <row r="6" spans="1:11" s="4" customFormat="1" ht="21.75" customHeight="1">
      <c r="A6" s="11" t="s">
        <v>125</v>
      </c>
      <c r="B6" s="7">
        <f>'Sales Log'!$F$214</f>
        <v>37.291262135922331</v>
      </c>
      <c r="C6" s="24">
        <f ca="1">AVERAGEIF('Sales Log'!$G$14:$G$213,C2,'Sales Log'!$F$14:$F$209)</f>
        <v>35</v>
      </c>
      <c r="D6" s="24">
        <f ca="1">AVERAGEIF('Sales Log'!$G$14:$G$213,D2,'Sales Log'!$F$14:$F$209)</f>
        <v>37.200000000000003</v>
      </c>
      <c r="E6" s="24">
        <f ca="1">AVERAGEIF('Sales Log'!$G$14:$G$213,E2,'Sales Log'!$F$14:$F$209)</f>
        <v>49.25</v>
      </c>
      <c r="F6" s="24">
        <f ca="1">AVERAGEIF('Sales Log'!$G$14:$G$213,F2,'Sales Log'!$F$14:$F$209)</f>
        <v>41</v>
      </c>
      <c r="G6" s="24" t="e">
        <f ca="1">AVERAGEIF('Sales Log'!$G$14:$G$213,G2,'Sales Log'!$F$14:$F$209)</f>
        <v>#DIV/0!</v>
      </c>
      <c r="H6" s="24">
        <f ca="1">AVERAGEIF('Sales Log'!$G$14:$G$213,H2,'Sales Log'!$F$14:$F$209)</f>
        <v>1</v>
      </c>
      <c r="I6" s="24" t="e">
        <f ca="1">AVERAGEIF('Sales Log'!$G$14:$G$213,I2,'Sales Log'!$F$14:$F$209)</f>
        <v>#DIV/0!</v>
      </c>
      <c r="J6" s="24">
        <f ca="1">AVERAGEIF('Sales Log'!$G$14:$G$213,J2,'Sales Log'!$F$14:$F$209)</f>
        <v>42.909090909090907</v>
      </c>
      <c r="K6" s="24">
        <f ca="1">AVERAGEIF('Sales Log'!$G$14:$G$213,K2,'Sales Log'!$F$14:$F$209)</f>
        <v>35.6</v>
      </c>
    </row>
    <row r="7" spans="1:11" ht="22.5" customHeight="1">
      <c r="A7" s="5" t="s">
        <v>127</v>
      </c>
      <c r="B7" s="8">
        <f>'Sales Log'!$K$214</f>
        <v>24154.252427184467</v>
      </c>
      <c r="C7" s="8">
        <f>AVERAGEIF('Sales Log'!$G$14:$G$213,C2,'Sales Log'!$K$14:$K$213)</f>
        <v>23599.88</v>
      </c>
      <c r="D7" s="8">
        <f>AVERAGEIF('Sales Log'!$G$14:$G$213,D2,'Sales Log'!$K$14:$K$213)</f>
        <v>25461.200000000001</v>
      </c>
      <c r="E7" s="8">
        <f>AVERAGEIF('Sales Log'!$G$14:$G$213,E2,'Sales Log'!$K$14:$K$213)</f>
        <v>24173.75</v>
      </c>
      <c r="F7" s="8">
        <f>AVERAGEIF('Sales Log'!$G$14:$G$213,F2,'Sales Log'!$K$14:$K$213)</f>
        <v>25639.127659574468</v>
      </c>
      <c r="G7" s="8" t="e">
        <f>AVERAGEIF('Sales Log'!$G$14:$G$213,G2,'Sales Log'!$K$14:$K$213)</f>
        <v>#DIV/0!</v>
      </c>
      <c r="H7" s="8">
        <f>AVERAGEIF('Sales Log'!$G$14:$G$213,H2,'Sales Log'!$K$14:$K$213)</f>
        <v>15308.166666666666</v>
      </c>
      <c r="I7" s="8" t="e">
        <f>AVERAGEIF('Sales Log'!$G$14:$G$213,I2,'Sales Log'!$K$14:$K$213)</f>
        <v>#DIV/0!</v>
      </c>
      <c r="J7" s="8">
        <f>AVERAGEIF('Sales Log'!$G$14:$G$213,J2,'Sales Log'!$K$14:$K$213)</f>
        <v>22680.727272727272</v>
      </c>
      <c r="K7" s="8">
        <f>AVERAGEIF('Sales Log'!$G$14:$G$213,K2,'Sales Log'!$K$14:$K$213)</f>
        <v>25502.799999999999</v>
      </c>
    </row>
    <row r="8" spans="1:11" ht="22.5" customHeight="1">
      <c r="A8" s="5" t="s">
        <v>149</v>
      </c>
      <c r="B8" s="9">
        <f>'Sales Log'!$N$214</f>
        <v>0.90594000663101304</v>
      </c>
      <c r="C8" s="14" t="e">
        <f>AVERAGEIF('Sales Log'!$G$14:$G$213,C2,'Sales Log'!$N14:$N$213)</f>
        <v>#VALUE!</v>
      </c>
      <c r="D8" s="14">
        <f>AVERAGEIF('Sales Log'!$G$14:$G$213,D2,'Sales Log'!$N14:$N$213)</f>
        <v>0.84693650736854131</v>
      </c>
      <c r="E8" s="14">
        <f>AVERAGEIF('Sales Log'!$G$14:$G$213,E2,'Sales Log'!$N14:$N$213)</f>
        <v>0.83082139007545208</v>
      </c>
      <c r="F8" s="14">
        <f>AVERAGEIF('Sales Log'!$G$14:$G$213,F2,'Sales Log'!$N14:$N$213)</f>
        <v>0.89956119091942233</v>
      </c>
      <c r="G8" s="14" t="e">
        <f>AVERAGEIF('Sales Log'!$G$14:$G$213,G2,'Sales Log'!$N14:$N$213)</f>
        <v>#DIV/0!</v>
      </c>
      <c r="H8" s="14">
        <f>AVERAGEIF('Sales Log'!$G$14:$G$213,H2,'Sales Log'!$N14:$N$213)</f>
        <v>1.05</v>
      </c>
      <c r="I8" s="14" t="e">
        <f>AVERAGEIF('Sales Log'!$G$14:$G$213,I2,'Sales Log'!$N14:$N$213)</f>
        <v>#DIV/0!</v>
      </c>
      <c r="J8" s="14">
        <f>AVERAGEIF('Sales Log'!$G$14:$G$213,J2,'Sales Log'!$N14:$N$213)</f>
        <v>0.90031154920506717</v>
      </c>
      <c r="K8" s="14">
        <f>AVERAGEIF('Sales Log'!$G$14:$G$213,K2,'Sales Log'!$N14:$N$213)</f>
        <v>0.90541096742226834</v>
      </c>
    </row>
    <row r="9" spans="1:11" ht="22.5" customHeight="1">
      <c r="A9" s="5" t="s">
        <v>131</v>
      </c>
      <c r="B9" s="8">
        <f>'Sales Log'!$O$214</f>
        <v>-187.126213592233</v>
      </c>
      <c r="C9" s="8">
        <f>AVERAGEIF('Sales Log'!$G$14:$G$213,C2,'Sales Log'!$O$14:$O$213)</f>
        <v>-360.36</v>
      </c>
      <c r="D9" s="8">
        <f>AVERAGEIF('Sales Log'!$G$14:$G$213,D2,'Sales Log'!$O$14:$O$213)</f>
        <v>1440.2</v>
      </c>
      <c r="E9" s="8">
        <f>AVERAGEIF('Sales Log'!$G$14:$G$213,E2,'Sales Log'!$O$14:$O$213)</f>
        <v>753.5</v>
      </c>
      <c r="F9" s="8">
        <f>AVERAGEIF('Sales Log'!$G$14:$G$213,F2,'Sales Log'!$O$14:$O$213)</f>
        <v>-196.72340425531914</v>
      </c>
      <c r="G9" s="8" t="e">
        <f>AVERAGEIF('Sales Log'!$G$14:$G$213,G2,'Sales Log'!$O$14:$O$213)</f>
        <v>#DIV/0!</v>
      </c>
      <c r="H9" s="8">
        <f>AVERAGEIF('Sales Log'!$G$14:$G$213,H2,'Sales Log'!$O$14:$O$213)</f>
        <v>0</v>
      </c>
      <c r="I9" s="8" t="e">
        <f>AVERAGEIF('Sales Log'!$G$14:$G$213,I2,'Sales Log'!$O$14:$O$213)</f>
        <v>#DIV/0!</v>
      </c>
      <c r="J9" s="8">
        <f>AVERAGEIF('Sales Log'!$G$14:$G$213,J2,'Sales Log'!$O$14:$O$213)</f>
        <v>-952.36363636363637</v>
      </c>
      <c r="K9" s="8">
        <f>AVERAGEIF('Sales Log'!$G$14:$G$213,K2,'Sales Log'!$O$14:$O$213)</f>
        <v>-151.6</v>
      </c>
    </row>
    <row r="10" spans="1:11" ht="22.5" customHeight="1">
      <c r="A10" s="5" t="s">
        <v>150</v>
      </c>
      <c r="B10" s="8">
        <f>'Sales Log'!$P$214</f>
        <v>849.495145631068</v>
      </c>
      <c r="C10" s="8">
        <f>AVERAGEIF('Sales Log'!$G$14:$G$213,C2,'Sales Log'!$P$14:$P$213)</f>
        <v>1478.48</v>
      </c>
      <c r="D10" s="8">
        <f>AVERAGEIF('Sales Log'!$G$14:$G$213,D2,'Sales Log'!$P$14:$P$213)</f>
        <v>888.8</v>
      </c>
      <c r="E10" s="8">
        <f>AVERAGEIF('Sales Log'!$G$14:$G$213,E2,'Sales Log'!$P$14:$P$213)</f>
        <v>216.5</v>
      </c>
      <c r="F10" s="8">
        <f>AVERAGEIF('Sales Log'!$G$14:$G$213,F2,'Sales Log'!$P$14:$P$213)</f>
        <v>724.23404255319144</v>
      </c>
      <c r="G10" s="8" t="e">
        <f>AVERAGEIF('Sales Log'!$G$14:$G$213,G2,'Sales Log'!$P$14:$P$213)</f>
        <v>#DIV/0!</v>
      </c>
      <c r="H10" s="8">
        <f>AVERAGEIF('Sales Log'!$G$14:$G$213,H2,'Sales Log'!$P$14:$P$213)</f>
        <v>1686.1666666666667</v>
      </c>
      <c r="I10" s="8" t="e">
        <f>AVERAGEIF('Sales Log'!$G$14:$G$213,I2,'Sales Log'!$P$14:$P$213)</f>
        <v>#DIV/0!</v>
      </c>
      <c r="J10" s="8">
        <f>AVERAGEIF('Sales Log'!$G$14:$G$213,J2,'Sales Log'!$P$14:$P$213)</f>
        <v>284.27272727272725</v>
      </c>
      <c r="K10" s="8">
        <f>AVERAGEIF('Sales Log'!$G$14:$G$213,K2,'Sales Log'!$P$14:$P$213)</f>
        <v>-411.4</v>
      </c>
    </row>
    <row r="11" spans="1:11" ht="22.5" customHeight="1">
      <c r="A11" s="5" t="s">
        <v>133</v>
      </c>
      <c r="B11" s="8">
        <f>'Sales Log'!$Q$214</f>
        <v>2359.3592233009708</v>
      </c>
      <c r="C11" s="8">
        <f>AVERAGEIF('Sales Log'!$G$14:$G$213,C2,'Sales Log'!$Q$14:$Q$213)</f>
        <v>2486.1999999999998</v>
      </c>
      <c r="D11" s="8">
        <f>AVERAGEIF('Sales Log'!$G$14:$G$213,D2,'Sales Log'!$Q$14:$Q$213)</f>
        <v>3427</v>
      </c>
      <c r="E11" s="8">
        <f>AVERAGEIF('Sales Log'!$G$14:$G$213,E2,'Sales Log'!$Q$14:$Q$213)</f>
        <v>1675</v>
      </c>
      <c r="F11" s="8">
        <f>AVERAGEIF('Sales Log'!$G$14:$G$213,F2,'Sales Log'!$Q$14:$Q$213)</f>
        <v>2651.3829787234044</v>
      </c>
      <c r="G11" s="8" t="e">
        <f>AVERAGEIF('Sales Log'!$G$14:$G$213,G2,'Sales Log'!$Q$14:$Q$213)</f>
        <v>#DIV/0!</v>
      </c>
      <c r="H11" s="8">
        <f>AVERAGEIF('Sales Log'!$G$14:$G$213,H2,'Sales Log'!$Q$14:$Q$213)</f>
        <v>1051.6666666666667</v>
      </c>
      <c r="I11" s="8" t="e">
        <f>AVERAGEIF('Sales Log'!$G$14:$G$213,I2,'Sales Log'!$Q$14:$Q$213)</f>
        <v>#DIV/0!</v>
      </c>
      <c r="J11" s="8">
        <f>AVERAGEIF('Sales Log'!$G$14:$G$213,J2,'Sales Log'!$Q$14:$Q$213)</f>
        <v>1740.8181818181818</v>
      </c>
      <c r="K11" s="8">
        <f>AVERAGEIF('Sales Log'!$G$14:$G$213,K2,'Sales Log'!$Q$14:$Q$213)</f>
        <v>1390</v>
      </c>
    </row>
    <row r="12" spans="1:11" ht="22.5" customHeight="1">
      <c r="A12" s="5" t="s">
        <v>134</v>
      </c>
      <c r="B12" s="8">
        <f>'Sales Log'!$R$214</f>
        <v>3208.8543689320391</v>
      </c>
      <c r="C12" s="8">
        <f>AVERAGEIF('Sales Log'!$G$14:$G$213,C2,'Sales Log'!$R$14:$R$213)</f>
        <v>3964.68</v>
      </c>
      <c r="D12" s="8">
        <f>AVERAGEIF('Sales Log'!$G$14:$G$213,D2,'Sales Log'!$R$14:$R$213)</f>
        <v>4315.8</v>
      </c>
      <c r="E12" s="8">
        <f>AVERAGEIF('Sales Log'!$G$14:$G$213,E2,'Sales Log'!$R$14:$R$213)</f>
        <v>1891.5</v>
      </c>
      <c r="F12" s="8">
        <f>AVERAGEIF('Sales Log'!$G$14:$G$213,F2,'Sales Log'!$R$14:$R$213)</f>
        <v>3375.6170212765956</v>
      </c>
      <c r="G12" s="8" t="e">
        <f>AVERAGEIF('Sales Log'!$G$14:$G$213,G2,'Sales Log'!$R$14:$R$213)</f>
        <v>#DIV/0!</v>
      </c>
      <c r="H12" s="8">
        <f>AVERAGEIF('Sales Log'!$G$14:$G$213,H2,'Sales Log'!$R$14:$R$213)</f>
        <v>2737.8333333333335</v>
      </c>
      <c r="I12" s="8" t="e">
        <f>AVERAGEIF('Sales Log'!$G$14:$G$213,I2,'Sales Log'!$R$14:$R$213)</f>
        <v>#DIV/0!</v>
      </c>
      <c r="J12" s="8">
        <f>AVERAGEIF('Sales Log'!$G$14:$G$213,J2,'Sales Log'!$R$14:$R$213)</f>
        <v>2025.090909090909</v>
      </c>
      <c r="K12" s="8">
        <f>AVERAGEIF('Sales Log'!$G$14:$G$213,K2,'Sales Log'!$R$14:$R$213)</f>
        <v>978.6</v>
      </c>
    </row>
    <row r="13" spans="1:11" ht="21.75" customHeight="1">
      <c r="A13" s="5" t="s">
        <v>135</v>
      </c>
      <c r="B13" s="10">
        <f>B12*B3</f>
        <v>330512</v>
      </c>
      <c r="C13" s="10">
        <f>C12*C3</f>
        <v>99117</v>
      </c>
      <c r="D13" s="10">
        <f t="shared" ref="D13:K13" si="0">D12*D3</f>
        <v>21579</v>
      </c>
      <c r="E13" s="10">
        <f t="shared" si="0"/>
        <v>7566</v>
      </c>
      <c r="F13" s="10">
        <f t="shared" si="0"/>
        <v>158654</v>
      </c>
      <c r="G13" s="10" t="e">
        <f t="shared" si="0"/>
        <v>#DIV/0!</v>
      </c>
      <c r="H13" s="10">
        <f t="shared" si="0"/>
        <v>16427</v>
      </c>
      <c r="I13" s="10" t="e">
        <f t="shared" si="0"/>
        <v>#DIV/0!</v>
      </c>
      <c r="J13" s="10">
        <f t="shared" ref="J13" si="1">J12*J3</f>
        <v>22276</v>
      </c>
      <c r="K13" s="10">
        <f t="shared" si="0"/>
        <v>4893</v>
      </c>
    </row>
    <row r="14" spans="1:11" ht="21.75" customHeight="1">
      <c r="A14" s="5" t="s">
        <v>89</v>
      </c>
      <c r="B14" s="9">
        <f>(B12/(B7)*(360/B6))</f>
        <v>1.2824836145747567</v>
      </c>
      <c r="C14" s="9">
        <f ca="1">(C12/(C7)*(360/C6))</f>
        <v>1.7279564859772893</v>
      </c>
      <c r="D14" s="9">
        <f t="shared" ref="D14:K14" ca="1" si="2">(D12/(D7)*(360/D6))</f>
        <v>1.6403706994019489</v>
      </c>
      <c r="E14" s="9">
        <f t="shared" ca="1" si="2"/>
        <v>0.5719506859052077</v>
      </c>
      <c r="F14" s="9">
        <f t="shared" ca="1" si="2"/>
        <v>1.1560285701916055</v>
      </c>
      <c r="G14" s="9" t="e">
        <f t="shared" ca="1" si="2"/>
        <v>#DIV/0!</v>
      </c>
      <c r="H14" s="9">
        <f t="shared" ca="1" si="2"/>
        <v>64.385240993369564</v>
      </c>
      <c r="I14" s="9" t="e">
        <f t="shared" ca="1" si="2"/>
        <v>#DIV/0!</v>
      </c>
      <c r="J14" s="9">
        <f t="shared" ref="J14" ca="1" si="3">(J12/(J7)*(360/J6))</f>
        <v>0.74910161774025064</v>
      </c>
      <c r="K14" s="9">
        <f t="shared" ca="1" si="2"/>
        <v>0.38803406120817224</v>
      </c>
    </row>
    <row r="15" spans="1:11" ht="21.75" customHeight="1">
      <c r="A15" s="5" t="s">
        <v>136</v>
      </c>
      <c r="B15" s="9">
        <f>'Sales Log'!AA214/'Scoreboard Total'!B3</f>
        <v>0.27184466019417475</v>
      </c>
      <c r="C15" s="9">
        <f>COUNTIFS('Sales Log'!$G$14:$G$213,C2,'Sales Log'!$AA$14:$AA$213,"Yes")/C$3</f>
        <v>0.44</v>
      </c>
      <c r="D15" s="9">
        <f>COUNTIFS('Sales Log'!$G$14:$G$213,D2,'Sales Log'!$AA$14:$AA$213,"Yes")/D$3</f>
        <v>0.6</v>
      </c>
      <c r="E15" s="9">
        <f>COUNTIFS('Sales Log'!$G$14:$G$213,E2,'Sales Log'!$AA$14:$AA$213,"Yes")/E$3</f>
        <v>0.5</v>
      </c>
      <c r="F15" s="9">
        <f>COUNTIFS('Sales Log'!$G$14:$G$213,F2,'Sales Log'!$AA$14:$AA$213,"Yes")/F$3</f>
        <v>0.21276595744680851</v>
      </c>
      <c r="G15" s="9" t="e">
        <f>COUNTIFS('Sales Log'!$G$14:$G$213,G2,'Sales Log'!$AA$14:$AA$213,"Yes")/G$3</f>
        <v>#DIV/0!</v>
      </c>
      <c r="H15" s="9">
        <f>COUNTIFS('Sales Log'!$G$14:$G$213,H2,'Sales Log'!$AA$14:$AA$213,"Yes")/H$3</f>
        <v>0</v>
      </c>
      <c r="I15" s="9" t="e">
        <f>COUNTIFS('Sales Log'!$G$14:$G$213,I2,'Sales Log'!$AA$14:$AA$213,"Yes")/I$3</f>
        <v>#DIV/0!</v>
      </c>
      <c r="J15" s="9">
        <f>COUNTIFS('Sales Log'!$G$14:$G$213,J2,'Sales Log'!$AA$14:$AA$213,"Yes")/J$3</f>
        <v>0.18181818181818182</v>
      </c>
      <c r="K15" s="9">
        <f>COUNTIFS('Sales Log'!$G$14:$G$213,K2,'Sales Log'!$AA$14:$AA$213,"Yes")/K$3</f>
        <v>0</v>
      </c>
    </row>
    <row r="16" spans="1:11" ht="21.75" customHeight="1">
      <c r="A16" s="5" t="s">
        <v>137</v>
      </c>
      <c r="B16" s="114">
        <f>'Sales Log'!$AB$214</f>
        <v>277.99029126213594</v>
      </c>
      <c r="C16" s="114">
        <f>AVERAGEIF('Sales Log'!$G$14:$G$213,C2,'Sales Log'!$AB$14:$AB$213)</f>
        <v>569.32000000000005</v>
      </c>
      <c r="D16" s="114">
        <f>AVERAGEIF('Sales Log'!$G$14:$G$213,D2,'Sales Log'!$AB$14:$AB$213)</f>
        <v>1260</v>
      </c>
      <c r="E16" s="114">
        <f>AVERAGEIF('Sales Log'!$G$14:$G$213,E2,'Sales Log'!$AB$14:$AB$213)</f>
        <v>-125</v>
      </c>
      <c r="F16" s="114">
        <f>AVERAGEIF('Sales Log'!$G$14:$G$213,F2,'Sales Log'!$AB$14:$AB$213)</f>
        <v>161.70212765957447</v>
      </c>
      <c r="G16" s="114" t="e">
        <f>AVERAGEIF('Sales Log'!$G$14:$G$213,G2,'Sales Log'!$AB$14:$AB$213)</f>
        <v>#DIV/0!</v>
      </c>
      <c r="H16" s="114">
        <f>AVERAGEIF('Sales Log'!$G$14:$G$213,H2,'Sales Log'!$AB$14:$AB$213)</f>
        <v>0</v>
      </c>
      <c r="I16" s="114" t="e">
        <f>AVERAGEIF('Sales Log'!$G$14:$G$213,I2,'Sales Log'!$AB$14:$AB$213)</f>
        <v>#DIV/0!</v>
      </c>
      <c r="J16" s="114">
        <f>AVERAGEIF('Sales Log'!$G$14:$G$213,J2,'Sales Log'!$AB$14:$AB$213)</f>
        <v>90.909090909090907</v>
      </c>
      <c r="K16" s="114">
        <f>AVERAGEIF('Sales Log'!$G$14:$G$213,K2,'Sales Log'!$AB$14:$AB$213)</f>
        <v>0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David Oley</cp:lastModifiedBy>
  <cp:revision/>
  <dcterms:created xsi:type="dcterms:W3CDTF">2015-12-28T19:26:50Z</dcterms:created>
  <dcterms:modified xsi:type="dcterms:W3CDTF">2023-11-08T20:09:17Z</dcterms:modified>
  <cp:category/>
  <cp:contentStatus/>
</cp:coreProperties>
</file>