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lundgrenhonda-my.sharepoint.com/personal/hpauquette_lsubaru_com/Documents/Desktop/NADA Academy/Variable 1 - Used &amp; Marketing/"/>
    </mc:Choice>
  </mc:AlternateContent>
  <xr:revisionPtr revIDLastSave="21" documentId="8_{6A065E09-2526-4703-925D-87FCCEB0F3F6}" xr6:coauthVersionLast="47" xr6:coauthVersionMax="47" xr10:uidLastSave="{20BC4F8C-4F64-4808-B2C3-1AC2E999D7F2}"/>
  <bookViews>
    <workbookView xWindow="-110" yWindow="-110" windowWidth="22780" windowHeight="1466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 s="1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<sst xmlns="http://schemas.openxmlformats.org/spreadsheetml/2006/main" count="77" uniqueCount="58">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</sst>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11" zoomScale="90" zoomScaleNormal="90" zoomScalePageLayoutView="90" workbookViewId="0">
      <selection activeCell="K26" sqref="K26"/>
    </sheetView>
  </sheetViews>
  <sheetFormatPr defaultColWidth="8.81640625" defaultRowHeight="12.5" x14ac:dyDescent="0.25"/>
  <cols>
    <col min="1" max="1" width="3" style="2" customWidth="1"/>
    <col min="2" max="2" width="17.08984375" style="2" customWidth="1"/>
    <col min="3" max="3" width="18" style="2" customWidth="1"/>
    <col min="4" max="5" width="18.54296875" customWidth="1"/>
    <col min="6" max="6" width="0.81640625" customWidth="1"/>
    <col min="7" max="7" width="2.81640625" customWidth="1"/>
    <col min="8" max="8" width="18.1796875" customWidth="1"/>
    <col min="9" max="9" width="50.7265625" customWidth="1"/>
    <col min="10" max="10" width="22.453125" customWidth="1"/>
    <col min="11" max="11" width="35.81640625" style="2" customWidth="1"/>
    <col min="12" max="12" width="12.453125" customWidth="1"/>
    <col min="13" max="13" width="8.54296875" customWidth="1"/>
    <col min="14" max="16" width="12.54296875" customWidth="1"/>
  </cols>
  <sheetData>
    <row r="1" spans="1:14" s="2" customFormat="1" ht="13.5" customHeight="1" x14ac:dyDescent="0.25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4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.149999999999999" customHeight="1" thickBot="1" x14ac:dyDescent="0.4">
      <c r="A3" s="8"/>
      <c r="B3" s="53"/>
      <c r="C3" s="38"/>
      <c r="D3" s="21" t="s">
        <v>19</v>
      </c>
      <c r="E3" s="54">
        <v>382</v>
      </c>
      <c r="F3" s="55"/>
      <c r="G3" s="50"/>
      <c r="H3" s="51"/>
      <c r="I3" s="56"/>
      <c r="J3" s="56"/>
      <c r="L3" s="3"/>
      <c r="M3" s="1"/>
      <c r="N3" s="1"/>
    </row>
    <row r="4" spans="1:14" ht="20.149999999999999" customHeight="1" thickBot="1" x14ac:dyDescent="0.4">
      <c r="A4" s="8"/>
      <c r="B4" s="53"/>
      <c r="C4" s="38"/>
      <c r="D4" s="21" t="s">
        <v>5</v>
      </c>
      <c r="E4" s="57">
        <v>9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.149999999999999" customHeight="1" thickBot="1" x14ac:dyDescent="0.4">
      <c r="A5" s="8"/>
      <c r="B5" s="53"/>
      <c r="C5" s="38"/>
      <c r="D5" s="21" t="s">
        <v>8</v>
      </c>
      <c r="E5" s="70">
        <f>IF(ISERROR(E3/E4),"",(E3)/E4)</f>
        <v>42.444444444444443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.149999999999999" customHeight="1" thickBot="1" x14ac:dyDescent="0.4">
      <c r="A6" s="8"/>
      <c r="B6" s="53"/>
      <c r="C6" s="38"/>
      <c r="D6" s="21" t="s">
        <v>13</v>
      </c>
      <c r="E6" s="43">
        <v>19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.149999999999999" customHeight="1" thickBot="1" x14ac:dyDescent="0.4">
      <c r="A7" s="8"/>
      <c r="B7" s="53"/>
      <c r="C7" s="38"/>
      <c r="D7" s="21" t="s">
        <v>0</v>
      </c>
      <c r="E7" s="71">
        <f>IF(ISERROR(E6/E5),"",E6/E5)</f>
        <v>0.44764397905759162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.149999999999999" customHeight="1" thickTop="1" thickBot="1" x14ac:dyDescent="0.4">
      <c r="A8" s="8"/>
      <c r="B8" s="59"/>
      <c r="C8" s="60"/>
      <c r="D8" s="22" t="s">
        <v>9</v>
      </c>
      <c r="E8" s="72">
        <f>IF(ISERROR(12/E7),"",12/E7)</f>
        <v>26.807017543859651</v>
      </c>
      <c r="F8" s="55"/>
      <c r="G8" s="61"/>
      <c r="H8" s="85">
        <v>18</v>
      </c>
      <c r="I8" s="24" t="s">
        <v>12</v>
      </c>
      <c r="J8" s="24"/>
      <c r="K8" s="10"/>
      <c r="L8" s="3"/>
      <c r="M8" s="1"/>
      <c r="N8" s="13"/>
    </row>
    <row r="9" spans="1:14" ht="20.149999999999999" customHeight="1" thickTop="1" thickBot="1" x14ac:dyDescent="0.4">
      <c r="B9" s="62"/>
      <c r="C9" s="63"/>
      <c r="D9" s="23" t="s">
        <v>20</v>
      </c>
      <c r="E9" s="64">
        <v>3031</v>
      </c>
      <c r="F9" s="55"/>
      <c r="G9" s="65"/>
      <c r="H9" s="84">
        <v>2850</v>
      </c>
      <c r="I9" s="25" t="s">
        <v>17</v>
      </c>
      <c r="J9" s="66"/>
      <c r="K9" s="11"/>
      <c r="L9" s="4"/>
      <c r="M9" s="1"/>
      <c r="N9" s="13"/>
    </row>
    <row r="10" spans="1:14" ht="20.149999999999999" customHeight="1" thickTop="1" thickBot="1" x14ac:dyDescent="0.4">
      <c r="B10" s="45"/>
      <c r="C10" s="67"/>
      <c r="D10" s="67"/>
      <c r="E10" s="67"/>
      <c r="F10" s="55"/>
      <c r="G10" s="56"/>
      <c r="H10" s="74">
        <f>IF(ISERROR(E6*H8)/12,"",(E6*H8)/12)</f>
        <v>28.5</v>
      </c>
      <c r="I10" s="26" t="s">
        <v>7</v>
      </c>
      <c r="J10" s="26"/>
      <c r="L10" s="3"/>
      <c r="M10" s="1"/>
      <c r="N10" s="13"/>
    </row>
    <row r="11" spans="1:14" ht="20.149999999999999" customHeight="1" thickBot="1" x14ac:dyDescent="0.4">
      <c r="B11" s="45"/>
      <c r="C11" s="67"/>
      <c r="D11" s="21" t="s">
        <v>10</v>
      </c>
      <c r="E11" s="73">
        <f>IF(ISERROR(E9*E5),"",(E9*E5))</f>
        <v>128649.11111111111</v>
      </c>
      <c r="F11" s="55"/>
      <c r="G11" s="56"/>
      <c r="H11" s="75">
        <f>IF(ISERROR(H9*H10),"",H9*H10)</f>
        <v>81225</v>
      </c>
      <c r="I11" s="26" t="s">
        <v>1</v>
      </c>
      <c r="J11" s="26"/>
      <c r="L11" s="4"/>
      <c r="M11" s="1"/>
      <c r="N11" s="13"/>
    </row>
    <row r="12" spans="1:14" ht="20.149999999999999" customHeight="1" thickBot="1" x14ac:dyDescent="0.4">
      <c r="B12" s="45"/>
      <c r="C12" s="67"/>
      <c r="D12" s="67"/>
      <c r="E12" s="67"/>
      <c r="F12" s="36"/>
      <c r="G12" s="56"/>
      <c r="H12" s="75">
        <f>IF(ISERROR(H11-E11),"",IF(ISBLANK(H8),"",(H11-E11)))</f>
        <v>-47424.111111111109</v>
      </c>
      <c r="I12" s="27" t="s">
        <v>15</v>
      </c>
      <c r="J12" s="27"/>
      <c r="L12" s="3"/>
      <c r="M12" s="1"/>
      <c r="N12" s="13"/>
    </row>
    <row r="13" spans="1:14" ht="20.149999999999999" customHeight="1" thickBot="1" x14ac:dyDescent="0.4">
      <c r="B13" s="45"/>
      <c r="C13" s="67"/>
      <c r="D13" s="21" t="s">
        <v>11</v>
      </c>
      <c r="E13" s="73">
        <f>IF(ISERROR(E11*12),"",E11*12)</f>
        <v>1543789.3333333333</v>
      </c>
      <c r="F13" s="36"/>
      <c r="G13" s="56"/>
      <c r="H13" s="76">
        <f>IF(ISERROR(H11*12),"",(H11*12))</f>
        <v>974700</v>
      </c>
      <c r="I13" s="26" t="s">
        <v>4</v>
      </c>
      <c r="J13" s="26"/>
      <c r="L13" s="4"/>
      <c r="M13" s="1"/>
      <c r="N13" s="13"/>
    </row>
    <row r="14" spans="1:14" ht="20.149999999999999" customHeight="1" x14ac:dyDescent="0.35">
      <c r="B14" s="68"/>
      <c r="C14" s="68"/>
      <c r="D14" s="68"/>
      <c r="E14" s="45"/>
      <c r="F14" s="36"/>
      <c r="G14" s="69"/>
      <c r="H14" s="75">
        <f>IF(ISERROR(H12*12),"",H12*12)</f>
        <v>-569089.33333333326</v>
      </c>
      <c r="I14" s="27" t="s">
        <v>16</v>
      </c>
      <c r="J14" s="27"/>
      <c r="K14"/>
      <c r="M14" s="12"/>
      <c r="N14" s="12"/>
    </row>
    <row r="15" spans="1:14" x14ac:dyDescent="0.25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3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25">
      <c r="B17" s="17"/>
      <c r="C17" s="17"/>
      <c r="D17" s="17"/>
      <c r="E17" s="17"/>
      <c r="F17" s="17"/>
      <c r="G17" s="17"/>
      <c r="H17" s="30" t="s">
        <v>14</v>
      </c>
      <c r="I17" s="31" t="s">
        <v>3</v>
      </c>
      <c r="J17" s="30" t="s">
        <v>2</v>
      </c>
      <c r="L17" s="12"/>
      <c r="M17" s="12"/>
      <c r="N17" s="12"/>
    </row>
    <row r="18" spans="2:14" ht="22" customHeight="1" x14ac:dyDescent="0.35">
      <c r="B18" s="36"/>
      <c r="C18" s="36"/>
      <c r="D18" s="37"/>
      <c r="E18" s="36"/>
      <c r="F18" s="36"/>
      <c r="G18" s="36"/>
      <c r="H18" s="77">
        <f>ROUNDUP((H10-E5),-0.5)</f>
        <v>-14</v>
      </c>
      <c r="I18" s="32" t="s">
        <v>48</v>
      </c>
      <c r="J18" s="78">
        <f>(H18*12)</f>
        <v>-168</v>
      </c>
    </row>
    <row r="19" spans="2:14" ht="6.75" customHeight="1" thickBot="1" x14ac:dyDescent="0.4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2" customHeight="1" thickBot="1" x14ac:dyDescent="0.4">
      <c r="B20" s="41"/>
      <c r="C20" s="28" t="s">
        <v>21</v>
      </c>
      <c r="D20" s="42"/>
      <c r="E20" s="43">
        <v>971</v>
      </c>
      <c r="F20" s="36"/>
      <c r="G20" s="36"/>
      <c r="H20" s="82">
        <f>E20*H18</f>
        <v>-13594</v>
      </c>
      <c r="I20" s="32" t="s">
        <v>31</v>
      </c>
      <c r="J20" s="82">
        <f>(H20*12)</f>
        <v>-163128</v>
      </c>
      <c r="L20" s="12"/>
      <c r="M20" s="12"/>
      <c r="N20" s="12"/>
    </row>
    <row r="21" spans="2:14" ht="6.75" customHeight="1" thickBot="1" x14ac:dyDescent="0.4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47" thickBot="1" x14ac:dyDescent="0.4">
      <c r="B22" s="29" t="s">
        <v>22</v>
      </c>
      <c r="C22" s="47">
        <v>500</v>
      </c>
      <c r="D22" s="28" t="s">
        <v>50</v>
      </c>
      <c r="E22" s="73">
        <f>C22*0.5</f>
        <v>250</v>
      </c>
      <c r="F22" s="36"/>
      <c r="G22" s="36"/>
      <c r="H22" s="82">
        <f>E22*H18</f>
        <v>-3500</v>
      </c>
      <c r="I22" s="32" t="s">
        <v>32</v>
      </c>
      <c r="J22" s="82">
        <f t="shared" ref="J22:J31" si="0">(H22*12)</f>
        <v>-42000</v>
      </c>
      <c r="L22" s="12"/>
      <c r="M22" s="12"/>
      <c r="N22" s="12"/>
    </row>
    <row r="23" spans="2:14" ht="16" thickBot="1" x14ac:dyDescent="0.4">
      <c r="B23" s="29" t="s">
        <v>23</v>
      </c>
      <c r="C23" s="80">
        <v>0.32</v>
      </c>
      <c r="D23" s="28" t="s">
        <v>25</v>
      </c>
      <c r="E23" s="83">
        <f>H18*C23</f>
        <v>-4.4800000000000004</v>
      </c>
      <c r="F23" s="36"/>
      <c r="G23" s="36"/>
      <c r="H23" s="82">
        <f>E26*E24</f>
        <v>0</v>
      </c>
      <c r="I23" s="32" t="s">
        <v>33</v>
      </c>
      <c r="J23" s="82">
        <f t="shared" si="0"/>
        <v>0</v>
      </c>
      <c r="L23" s="12"/>
      <c r="M23" s="12"/>
      <c r="N23" s="12"/>
    </row>
    <row r="24" spans="2:14" ht="47" thickBot="1" x14ac:dyDescent="0.4">
      <c r="B24" s="29" t="s">
        <v>28</v>
      </c>
      <c r="C24" s="80">
        <v>0</v>
      </c>
      <c r="D24" s="81" t="s">
        <v>29</v>
      </c>
      <c r="E24" s="83">
        <f>E23*C24</f>
        <v>0</v>
      </c>
      <c r="F24" s="36"/>
      <c r="G24" s="36"/>
      <c r="H24" s="82">
        <f>(E25*(E23-E24))</f>
        <v>-2912.0000000000005</v>
      </c>
      <c r="I24" s="32" t="s">
        <v>34</v>
      </c>
      <c r="J24" s="82">
        <f t="shared" si="0"/>
        <v>-34944.000000000007</v>
      </c>
      <c r="L24" s="12"/>
      <c r="M24" s="12"/>
      <c r="N24" s="12"/>
    </row>
    <row r="25" spans="2:14" ht="30.75" customHeight="1" thickBot="1" x14ac:dyDescent="0.4">
      <c r="B25" s="29" t="s">
        <v>24</v>
      </c>
      <c r="C25" s="47">
        <v>1300</v>
      </c>
      <c r="D25" s="28" t="s">
        <v>50</v>
      </c>
      <c r="E25" s="73">
        <f>C25*0.5</f>
        <v>650</v>
      </c>
      <c r="F25" s="36"/>
      <c r="G25" s="36"/>
      <c r="H25" s="82">
        <f>(E27*(E23-E24))</f>
        <v>-17472</v>
      </c>
      <c r="I25" s="32" t="s">
        <v>35</v>
      </c>
      <c r="J25" s="82">
        <f t="shared" si="0"/>
        <v>-209664</v>
      </c>
      <c r="L25" s="12"/>
      <c r="M25" s="12"/>
      <c r="N25" s="12"/>
    </row>
    <row r="26" spans="2:14" ht="22" customHeight="1" thickBot="1" x14ac:dyDescent="0.4">
      <c r="B26" s="93" t="s">
        <v>30</v>
      </c>
      <c r="C26" s="94"/>
      <c r="D26" s="95"/>
      <c r="E26" s="48">
        <v>300</v>
      </c>
      <c r="F26" s="36"/>
      <c r="G26" s="36"/>
      <c r="H26" s="82">
        <f>(E28*(E23-E24))</f>
        <v>-336.00000000000006</v>
      </c>
      <c r="I26" s="32" t="s">
        <v>44</v>
      </c>
      <c r="J26" s="82">
        <f t="shared" si="0"/>
        <v>-4032.0000000000009</v>
      </c>
      <c r="L26" s="12"/>
      <c r="M26" s="12"/>
      <c r="N26" s="12"/>
    </row>
    <row r="27" spans="2:14" ht="22" customHeight="1" thickBot="1" x14ac:dyDescent="0.4">
      <c r="B27" s="93" t="s">
        <v>26</v>
      </c>
      <c r="C27" s="94"/>
      <c r="D27" s="95"/>
      <c r="E27" s="48">
        <v>3900</v>
      </c>
      <c r="F27" s="36"/>
      <c r="G27" s="36"/>
      <c r="H27" s="82">
        <f>E29*H18</f>
        <v>-1750</v>
      </c>
      <c r="I27" s="32" t="s">
        <v>45</v>
      </c>
      <c r="J27" s="82">
        <f t="shared" si="0"/>
        <v>-21000</v>
      </c>
      <c r="L27" s="12"/>
      <c r="M27" s="12"/>
      <c r="N27" s="12"/>
    </row>
    <row r="28" spans="2:14" ht="22" customHeight="1" thickBot="1" x14ac:dyDescent="0.4">
      <c r="B28" s="93" t="s">
        <v>47</v>
      </c>
      <c r="C28" s="94"/>
      <c r="D28" s="95"/>
      <c r="E28" s="48">
        <v>75</v>
      </c>
      <c r="F28" s="36"/>
      <c r="G28" s="36"/>
      <c r="H28" s="82">
        <f>(E30*H18)+(E30*(E23-E24))</f>
        <v>-7373.52</v>
      </c>
      <c r="I28" s="32" t="s">
        <v>36</v>
      </c>
      <c r="J28" s="82">
        <f t="shared" si="0"/>
        <v>-88482.240000000005</v>
      </c>
      <c r="L28" s="12"/>
      <c r="M28" s="12"/>
      <c r="N28" s="12"/>
    </row>
    <row r="29" spans="2:14" ht="22" customHeight="1" thickBot="1" x14ac:dyDescent="0.4">
      <c r="B29" s="93" t="s">
        <v>46</v>
      </c>
      <c r="C29" s="94"/>
      <c r="D29" s="95"/>
      <c r="E29" s="48">
        <v>125</v>
      </c>
      <c r="F29" s="36"/>
      <c r="G29" s="36"/>
      <c r="H29" s="82">
        <f>(E31*H18)</f>
        <v>0</v>
      </c>
      <c r="I29" s="32" t="s">
        <v>37</v>
      </c>
      <c r="J29" s="82">
        <f t="shared" si="0"/>
        <v>0</v>
      </c>
      <c r="L29" s="12"/>
      <c r="M29" s="12"/>
      <c r="N29" s="12"/>
    </row>
    <row r="30" spans="2:14" ht="22" customHeight="1" thickBot="1" x14ac:dyDescent="0.4">
      <c r="B30" s="93" t="s">
        <v>43</v>
      </c>
      <c r="C30" s="94"/>
      <c r="D30" s="95"/>
      <c r="E30" s="48">
        <v>399</v>
      </c>
      <c r="F30" s="36"/>
      <c r="G30" s="36"/>
      <c r="H30" s="82">
        <f>(E32*H18)</f>
        <v>-17710</v>
      </c>
      <c r="I30" s="32" t="s">
        <v>38</v>
      </c>
      <c r="J30" s="82">
        <f t="shared" si="0"/>
        <v>-212520</v>
      </c>
      <c r="L30" s="12"/>
      <c r="M30" s="12"/>
      <c r="N30" s="12"/>
    </row>
    <row r="31" spans="2:14" ht="24" customHeight="1" thickBot="1" x14ac:dyDescent="0.4">
      <c r="B31" s="93" t="s">
        <v>40</v>
      </c>
      <c r="C31" s="94"/>
      <c r="D31" s="95"/>
      <c r="E31" s="48">
        <v>0</v>
      </c>
      <c r="F31" s="36"/>
      <c r="G31" s="36"/>
      <c r="H31" s="82">
        <f>(E33*H18)</f>
        <v>0</v>
      </c>
      <c r="I31" s="32" t="s">
        <v>39</v>
      </c>
      <c r="J31" s="82">
        <f t="shared" si="0"/>
        <v>0</v>
      </c>
      <c r="L31" s="12"/>
      <c r="M31" s="12"/>
      <c r="N31" s="12"/>
    </row>
    <row r="32" spans="2:14" ht="24" customHeight="1" thickBot="1" x14ac:dyDescent="0.4">
      <c r="B32" s="93" t="s">
        <v>41</v>
      </c>
      <c r="C32" s="94"/>
      <c r="D32" s="95"/>
      <c r="E32" s="48">
        <v>1265</v>
      </c>
      <c r="F32" s="36"/>
      <c r="G32" s="36"/>
      <c r="H32" s="89">
        <f>H12</f>
        <v>-47424.111111111109</v>
      </c>
      <c r="I32" s="33" t="s">
        <v>18</v>
      </c>
      <c r="J32" s="82">
        <f>H14</f>
        <v>-569089.33333333326</v>
      </c>
      <c r="L32" s="12"/>
      <c r="M32" s="12"/>
      <c r="N32" s="12"/>
    </row>
    <row r="33" spans="1:14" ht="24" customHeight="1" thickBot="1" x14ac:dyDescent="0.4">
      <c r="B33" s="99" t="s">
        <v>42</v>
      </c>
      <c r="C33" s="100"/>
      <c r="D33" s="101"/>
      <c r="E33" s="79">
        <v>0</v>
      </c>
      <c r="F33" s="36"/>
      <c r="G33" s="36"/>
      <c r="H33" s="82">
        <f>SUM(H20:H31)</f>
        <v>-64647.520000000004</v>
      </c>
      <c r="I33" s="33" t="s">
        <v>54</v>
      </c>
      <c r="J33" s="82">
        <f>SUM(J20:J31)</f>
        <v>-775770.24</v>
      </c>
      <c r="L33" s="12"/>
      <c r="M33" s="12"/>
      <c r="N33" s="12"/>
    </row>
    <row r="34" spans="1:14" ht="24" customHeight="1" thickBot="1" x14ac:dyDescent="0.4">
      <c r="B34" s="102" t="s">
        <v>57</v>
      </c>
      <c r="C34" s="103"/>
      <c r="D34" s="104"/>
      <c r="E34" s="79">
        <f>'NV Washout Gross Per Unit'!E26</f>
        <v>7648.68</v>
      </c>
      <c r="F34" s="36"/>
      <c r="G34" s="36"/>
      <c r="H34" s="82">
        <f>(H32+H33)</f>
        <v>-112071.63111111111</v>
      </c>
      <c r="I34" s="34" t="s">
        <v>6</v>
      </c>
      <c r="J34" s="82">
        <f>J33+J32</f>
        <v>-1344859.5733333332</v>
      </c>
      <c r="L34" s="12"/>
      <c r="M34" s="12"/>
      <c r="N34" s="12"/>
    </row>
    <row r="35" spans="1:14" s="16" customFormat="1" ht="30" customHeight="1" thickBot="1" x14ac:dyDescent="0.3">
      <c r="A35" s="14"/>
      <c r="B35" s="96" t="s">
        <v>27</v>
      </c>
      <c r="C35" s="97"/>
      <c r="D35" s="97"/>
      <c r="E35" s="98"/>
      <c r="F35" s="49"/>
      <c r="G35" s="49"/>
      <c r="H35" s="82">
        <f>'NV Washout Gross Per Unit'!E26*'Power of Turn'!H10</f>
        <v>217987.38</v>
      </c>
      <c r="I35" s="35" t="s">
        <v>55</v>
      </c>
      <c r="J35" s="82">
        <f>'NV Washout Gross Per Unit'!F26</f>
        <v>2615848.56</v>
      </c>
      <c r="K35" s="14"/>
      <c r="L35" s="15"/>
      <c r="M35" s="15"/>
      <c r="N35" s="15"/>
    </row>
    <row r="36" spans="1:14" ht="14.5" x14ac:dyDescent="0.35">
      <c r="F36" s="2"/>
      <c r="G36" s="2"/>
      <c r="H36" s="20"/>
      <c r="I36" s="20"/>
      <c r="J36" s="20"/>
      <c r="L36" s="12"/>
      <c r="M36" s="12"/>
      <c r="N36" s="12"/>
    </row>
    <row r="37" spans="1:14" x14ac:dyDescent="0.25">
      <c r="B37" s="12"/>
      <c r="C37" s="12"/>
      <c r="D37" s="12"/>
      <c r="E37" s="12"/>
    </row>
    <row r="38" spans="1:14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25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topLeftCell="A8" zoomScale="90" zoomScaleNormal="90" zoomScalePageLayoutView="90" workbookViewId="0">
      <selection activeCell="B26" sqref="B26:D26"/>
    </sheetView>
  </sheetViews>
  <sheetFormatPr defaultColWidth="8.81640625" defaultRowHeight="12.5" x14ac:dyDescent="0.25"/>
  <cols>
    <col min="1" max="1" width="3" style="2" customWidth="1"/>
    <col min="2" max="2" width="15" style="2" customWidth="1"/>
    <col min="3" max="3" width="18" style="2" customWidth="1"/>
    <col min="4" max="5" width="18.54296875" customWidth="1"/>
    <col min="6" max="6" width="18.1796875" customWidth="1"/>
    <col min="7" max="7" width="22.453125" customWidth="1"/>
    <col min="8" max="8" width="35.81640625" style="2" customWidth="1"/>
    <col min="9" max="9" width="12.453125" customWidth="1"/>
    <col min="10" max="10" width="8.54296875" customWidth="1"/>
    <col min="11" max="13" width="12.54296875" customWidth="1"/>
  </cols>
  <sheetData>
    <row r="1" spans="1:11" s="2" customFormat="1" ht="13.5" customHeight="1" x14ac:dyDescent="0.25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4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.149999999999999" customHeight="1" thickBot="1" x14ac:dyDescent="0.4">
      <c r="A3" s="8"/>
      <c r="B3" s="53"/>
      <c r="C3" s="38"/>
      <c r="D3" s="21" t="s">
        <v>56</v>
      </c>
      <c r="E3" s="54">
        <f>'Power of Turn'!H10*12</f>
        <v>342</v>
      </c>
      <c r="F3" s="51"/>
      <c r="G3" s="56"/>
      <c r="I3" s="3"/>
      <c r="J3" s="1"/>
      <c r="K3" s="1"/>
    </row>
    <row r="4" spans="1:11" ht="20.149999999999999" customHeight="1" thickBot="1" x14ac:dyDescent="0.4">
      <c r="B4" s="62"/>
      <c r="C4" s="63"/>
      <c r="D4" s="23" t="s">
        <v>52</v>
      </c>
      <c r="E4" s="88">
        <f>'Power of Turn'!E9</f>
        <v>3031</v>
      </c>
      <c r="F4" s="4"/>
      <c r="G4" s="13"/>
      <c r="H4"/>
    </row>
    <row r="5" spans="1:11" ht="20.149999999999999" customHeight="1" thickBot="1" x14ac:dyDescent="0.4">
      <c r="B5" s="45"/>
      <c r="C5" s="67"/>
      <c r="D5" s="21" t="s">
        <v>53</v>
      </c>
      <c r="E5" s="73">
        <f>E3*E4</f>
        <v>1036602</v>
      </c>
      <c r="F5" s="4"/>
      <c r="G5" s="13"/>
      <c r="H5"/>
    </row>
    <row r="6" spans="1:11" ht="20.149999999999999" customHeight="1" x14ac:dyDescent="0.35">
      <c r="B6" s="68"/>
      <c r="C6" s="68"/>
      <c r="D6" s="68"/>
      <c r="E6" s="45"/>
      <c r="G6" s="12"/>
      <c r="H6"/>
    </row>
    <row r="7" spans="1:11" x14ac:dyDescent="0.25">
      <c r="D7" s="2"/>
      <c r="E7" s="2"/>
      <c r="F7" s="12"/>
      <c r="G7" s="12"/>
      <c r="H7"/>
    </row>
    <row r="8" spans="1:11" ht="18" customHeight="1" x14ac:dyDescent="0.25">
      <c r="B8" s="17"/>
      <c r="C8" s="17"/>
      <c r="D8" s="17"/>
      <c r="E8" s="17"/>
      <c r="F8" s="17"/>
      <c r="G8" s="12"/>
      <c r="H8"/>
    </row>
    <row r="9" spans="1:11" ht="18" customHeight="1" x14ac:dyDescent="0.25">
      <c r="B9" s="17"/>
      <c r="C9" s="17"/>
      <c r="D9" s="17"/>
      <c r="E9" s="17"/>
      <c r="F9" s="17"/>
      <c r="G9" s="12"/>
      <c r="H9"/>
    </row>
    <row r="10" spans="1:11" ht="22" customHeight="1" x14ac:dyDescent="0.35">
      <c r="B10" s="36"/>
      <c r="C10" s="36"/>
      <c r="D10" s="37"/>
      <c r="E10" s="86"/>
      <c r="F10" s="86" t="s">
        <v>51</v>
      </c>
      <c r="H10"/>
    </row>
    <row r="11" spans="1:11" ht="6.75" customHeight="1" thickBot="1" x14ac:dyDescent="0.4">
      <c r="B11" s="36"/>
      <c r="C11" s="36"/>
      <c r="D11" s="37"/>
      <c r="E11" s="36"/>
      <c r="F11" s="36"/>
      <c r="G11" s="12"/>
      <c r="H11"/>
    </row>
    <row r="12" spans="1:11" ht="22" customHeight="1" thickBot="1" x14ac:dyDescent="0.4">
      <c r="B12" s="41"/>
      <c r="C12" s="28" t="s">
        <v>21</v>
      </c>
      <c r="D12" s="42"/>
      <c r="E12" s="91">
        <f>'Power of Turn'!E20</f>
        <v>971</v>
      </c>
      <c r="F12" s="48">
        <f>E12*E3</f>
        <v>332082</v>
      </c>
      <c r="G12" s="12"/>
      <c r="H12"/>
    </row>
    <row r="13" spans="1:11" ht="6.75" customHeight="1" thickBot="1" x14ac:dyDescent="0.4">
      <c r="B13" s="44"/>
      <c r="C13" s="44"/>
      <c r="D13" s="44"/>
      <c r="E13" s="45"/>
      <c r="F13" s="45"/>
      <c r="G13" s="12"/>
      <c r="H13"/>
    </row>
    <row r="14" spans="1:11" ht="47" thickBot="1" x14ac:dyDescent="0.3">
      <c r="B14" s="29" t="s">
        <v>22</v>
      </c>
      <c r="C14" s="91">
        <f>'Power of Turn'!C22</f>
        <v>500</v>
      </c>
      <c r="D14" s="28" t="s">
        <v>50</v>
      </c>
      <c r="E14" s="73">
        <f>C14*0.5</f>
        <v>250</v>
      </c>
      <c r="F14" s="73">
        <f>E14*E3</f>
        <v>85500</v>
      </c>
      <c r="G14" s="12"/>
      <c r="H14"/>
    </row>
    <row r="15" spans="1:11" ht="16" thickBot="1" x14ac:dyDescent="0.3">
      <c r="B15" s="29" t="s">
        <v>23</v>
      </c>
      <c r="C15" s="92">
        <f>'Power of Turn'!C23</f>
        <v>0.32</v>
      </c>
      <c r="D15" s="28" t="s">
        <v>25</v>
      </c>
      <c r="E15" s="90">
        <f>C15*E3</f>
        <v>109.44</v>
      </c>
      <c r="F15" s="83">
        <f>E15</f>
        <v>109.44</v>
      </c>
      <c r="G15" s="12"/>
      <c r="H15"/>
    </row>
    <row r="16" spans="1:11" ht="47" thickBot="1" x14ac:dyDescent="0.3">
      <c r="B16" s="29" t="s">
        <v>28</v>
      </c>
      <c r="C16" s="92">
        <f>'Power of Turn'!C24</f>
        <v>0</v>
      </c>
      <c r="D16" s="81" t="s">
        <v>29</v>
      </c>
      <c r="E16" s="90">
        <f>E15*C16</f>
        <v>0</v>
      </c>
      <c r="F16" s="83">
        <f>E16</f>
        <v>0</v>
      </c>
      <c r="G16" s="12"/>
      <c r="H16"/>
    </row>
    <row r="17" spans="1:11" ht="30.75" customHeight="1" thickBot="1" x14ac:dyDescent="0.3">
      <c r="B17" s="29" t="s">
        <v>24</v>
      </c>
      <c r="C17" s="91">
        <f>'Power of Turn'!C25</f>
        <v>1300</v>
      </c>
      <c r="D17" s="28" t="s">
        <v>50</v>
      </c>
      <c r="E17" s="73">
        <f>C17*0.5</f>
        <v>650</v>
      </c>
      <c r="F17" s="73">
        <f>E17*F15*(1-C16)</f>
        <v>71136</v>
      </c>
      <c r="G17" s="12"/>
      <c r="H17"/>
    </row>
    <row r="18" spans="1:11" ht="22" customHeight="1" thickBot="1" x14ac:dyDescent="0.3">
      <c r="B18" s="93" t="s">
        <v>30</v>
      </c>
      <c r="C18" s="94"/>
      <c r="D18" s="95"/>
      <c r="E18" s="91">
        <f>'Power of Turn'!E26</f>
        <v>300</v>
      </c>
      <c r="F18" s="48">
        <f>E18*F16</f>
        <v>0</v>
      </c>
      <c r="G18" s="12"/>
      <c r="H18"/>
    </row>
    <row r="19" spans="1:11" ht="22" customHeight="1" thickBot="1" x14ac:dyDescent="0.3">
      <c r="B19" s="93" t="s">
        <v>26</v>
      </c>
      <c r="C19" s="94"/>
      <c r="D19" s="95"/>
      <c r="E19" s="91">
        <f>'Power of Turn'!E27</f>
        <v>3900</v>
      </c>
      <c r="F19" s="48">
        <f>E19*(F15-F16)</f>
        <v>426816</v>
      </c>
      <c r="G19" s="12"/>
      <c r="H19"/>
    </row>
    <row r="20" spans="1:11" ht="22" customHeight="1" thickBot="1" x14ac:dyDescent="0.3">
      <c r="B20" s="93" t="s">
        <v>47</v>
      </c>
      <c r="C20" s="94"/>
      <c r="D20" s="95"/>
      <c r="E20" s="91">
        <f>'Power of Turn'!E28</f>
        <v>75</v>
      </c>
      <c r="F20" s="48">
        <f>E20*F15</f>
        <v>8208</v>
      </c>
      <c r="G20" s="12"/>
      <c r="H20"/>
    </row>
    <row r="21" spans="1:11" ht="22" customHeight="1" thickBot="1" x14ac:dyDescent="0.3">
      <c r="B21" s="93" t="s">
        <v>46</v>
      </c>
      <c r="C21" s="94"/>
      <c r="D21" s="95"/>
      <c r="E21" s="91">
        <f>'Power of Turn'!E29</f>
        <v>125</v>
      </c>
      <c r="F21" s="48">
        <f>E21*E3</f>
        <v>42750</v>
      </c>
      <c r="G21" s="12"/>
      <c r="H21"/>
    </row>
    <row r="22" spans="1:11" ht="22" customHeight="1" thickBot="1" x14ac:dyDescent="0.3">
      <c r="B22" s="93" t="s">
        <v>43</v>
      </c>
      <c r="C22" s="94"/>
      <c r="D22" s="95"/>
      <c r="E22" s="91">
        <f>'Power of Turn'!E30</f>
        <v>399</v>
      </c>
      <c r="F22" s="48">
        <f>(E22*E3)+(E22*(F15-F16))</f>
        <v>180124.56</v>
      </c>
      <c r="G22" s="12"/>
      <c r="H22"/>
    </row>
    <row r="23" spans="1:11" ht="24" customHeight="1" thickBot="1" x14ac:dyDescent="0.3">
      <c r="B23" s="93" t="s">
        <v>40</v>
      </c>
      <c r="C23" s="94"/>
      <c r="D23" s="95"/>
      <c r="E23" s="91">
        <f>'Power of Turn'!E31</f>
        <v>0</v>
      </c>
      <c r="F23" s="48">
        <f>E23*E3</f>
        <v>0</v>
      </c>
      <c r="G23" s="12"/>
      <c r="H23"/>
    </row>
    <row r="24" spans="1:11" ht="24" customHeight="1" thickBot="1" x14ac:dyDescent="0.3">
      <c r="B24" s="93" t="s">
        <v>41</v>
      </c>
      <c r="C24" s="94"/>
      <c r="D24" s="95"/>
      <c r="E24" s="91">
        <f>'Power of Turn'!E32</f>
        <v>1265</v>
      </c>
      <c r="F24" s="48">
        <f>E24*E3</f>
        <v>432630</v>
      </c>
      <c r="G24" s="12"/>
      <c r="H24"/>
    </row>
    <row r="25" spans="1:11" ht="24" customHeight="1" thickBot="1" x14ac:dyDescent="0.3">
      <c r="B25" s="99" t="s">
        <v>42</v>
      </c>
      <c r="C25" s="100"/>
      <c r="D25" s="101"/>
      <c r="E25" s="91">
        <f>'Power of Turn'!E33</f>
        <v>0</v>
      </c>
      <c r="F25" s="79">
        <f>E25*E3</f>
        <v>0</v>
      </c>
      <c r="G25" s="12"/>
      <c r="H25"/>
    </row>
    <row r="26" spans="1:11" ht="24" customHeight="1" thickBot="1" x14ac:dyDescent="0.3">
      <c r="B26" s="102" t="s">
        <v>49</v>
      </c>
      <c r="C26" s="103"/>
      <c r="D26" s="104"/>
      <c r="E26" s="87">
        <f>F26/E3</f>
        <v>7648.68</v>
      </c>
      <c r="F26" s="48">
        <f>SUM(E5,F12,F14,F17:F25)</f>
        <v>2615848.56</v>
      </c>
      <c r="G26" s="12"/>
      <c r="H26"/>
    </row>
    <row r="27" spans="1:11" s="16" customFormat="1" ht="30" customHeight="1" thickBot="1" x14ac:dyDescent="0.3">
      <c r="A27" s="14"/>
      <c r="B27" s="96" t="s">
        <v>27</v>
      </c>
      <c r="C27" s="97"/>
      <c r="D27" s="97"/>
      <c r="E27" s="98"/>
      <c r="F27" s="15"/>
      <c r="G27" s="15"/>
    </row>
    <row r="28" spans="1:11" ht="14.5" x14ac:dyDescent="0.35">
      <c r="F28" s="20"/>
      <c r="G28" s="20"/>
      <c r="I28" s="12"/>
      <c r="J28" s="12"/>
      <c r="K28" s="12"/>
    </row>
    <row r="29" spans="1:11" x14ac:dyDescent="0.25">
      <c r="B29" s="12"/>
      <c r="C29" s="12"/>
      <c r="D29" s="12"/>
      <c r="E29" s="12"/>
    </row>
    <row r="30" spans="1:11" x14ac:dyDescent="0.25">
      <c r="B30" s="12"/>
      <c r="C30" s="12"/>
      <c r="D30" s="12"/>
      <c r="E30" s="12"/>
      <c r="F30" s="12"/>
      <c r="G30" s="12"/>
      <c r="H30" s="12"/>
    </row>
    <row r="31" spans="1:11" x14ac:dyDescent="0.25">
      <c r="B31" s="12"/>
      <c r="C31" s="12"/>
      <c r="D31" s="12"/>
      <c r="E31" s="12"/>
      <c r="F31" s="12"/>
      <c r="G31" s="12"/>
      <c r="H31" s="12"/>
    </row>
    <row r="32" spans="1:11" x14ac:dyDescent="0.25">
      <c r="B32" s="12"/>
      <c r="C32" s="12"/>
      <c r="D32" s="12"/>
      <c r="E32" s="12"/>
      <c r="F32" s="12"/>
      <c r="G32" s="12"/>
      <c r="H32" s="12"/>
    </row>
    <row r="33" spans="2:8" x14ac:dyDescent="0.25">
      <c r="B33" s="12"/>
      <c r="C33" s="12"/>
      <c r="D33" s="12"/>
      <c r="E33" s="12"/>
      <c r="F33" s="12"/>
      <c r="G33" s="12"/>
      <c r="H33" s="12"/>
    </row>
    <row r="34" spans="2:8" x14ac:dyDescent="0.25">
      <c r="B34" s="12"/>
      <c r="C34" s="12"/>
      <c r="D34" s="12"/>
      <c r="E34" s="12"/>
      <c r="F34" s="12"/>
      <c r="G34" s="12"/>
      <c r="H34" s="12"/>
    </row>
    <row r="35" spans="2:8" x14ac:dyDescent="0.25">
      <c r="B35" s="12"/>
      <c r="C35" s="12"/>
      <c r="D35" s="12"/>
      <c r="E35" s="12"/>
      <c r="F35" s="12"/>
      <c r="G35" s="12"/>
      <c r="H35" s="12"/>
    </row>
    <row r="36" spans="2:8" x14ac:dyDescent="0.25">
      <c r="B36" s="12"/>
      <c r="C36" s="12"/>
      <c r="D36" s="12"/>
      <c r="E36" s="12"/>
      <c r="F36" s="12"/>
      <c r="G36" s="12"/>
      <c r="H36" s="12"/>
    </row>
    <row r="37" spans="2:8" x14ac:dyDescent="0.25">
      <c r="B37" s="12"/>
      <c r="C37" s="12"/>
      <c r="D37" s="12"/>
      <c r="E37" s="12"/>
      <c r="F37" s="12"/>
      <c r="G37" s="12"/>
      <c r="H37" s="12"/>
    </row>
    <row r="38" spans="2:8" x14ac:dyDescent="0.25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Heather Pauquette</cp:lastModifiedBy>
  <cp:lastPrinted>2018-02-26T14:09:45Z</cp:lastPrinted>
  <dcterms:created xsi:type="dcterms:W3CDTF">2010-11-17T18:21:58Z</dcterms:created>
  <dcterms:modified xsi:type="dcterms:W3CDTF">2023-11-07T14:48:35Z</dcterms:modified>
</cp:coreProperties>
</file>