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orkautomotivegroup-my.sharepoint.com/personal/dshepherd_yorkautomotive_com/Documents/"/>
    </mc:Choice>
  </mc:AlternateContent>
  <xr:revisionPtr revIDLastSave="427" documentId="8_{11B8F101-5D03-41B5-B6CA-16C84510494B}" xr6:coauthVersionLast="47" xr6:coauthVersionMax="47" xr10:uidLastSave="{FBC36164-F307-4444-A062-3E2F4AED63E4}"/>
  <bookViews>
    <workbookView xWindow="-120" yWindow="-120" windowWidth="29040" windowHeight="15840" tabRatio="913" activeTab="1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Log'!$A$14:$X$213</definedName>
    <definedName name="_xlnm.Print_Area" localSheetId="1">'Sales Log'!$A$12:$Q$65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I14" i="1"/>
  <c r="M14" i="1"/>
  <c r="N14" i="1" s="1"/>
  <c r="O14" i="1"/>
  <c r="W14" i="1"/>
  <c r="I15" i="1"/>
  <c r="M15" i="1"/>
  <c r="N15" i="1" s="1"/>
  <c r="O15" i="1"/>
  <c r="R15" i="1"/>
  <c r="S15" i="1" s="1"/>
  <c r="W15" i="1"/>
  <c r="I16" i="1"/>
  <c r="M16" i="1"/>
  <c r="N16" i="1" s="1"/>
  <c r="O16" i="1"/>
  <c r="R16" i="1"/>
  <c r="S16" i="1" s="1"/>
  <c r="W16" i="1"/>
  <c r="I17" i="1"/>
  <c r="M17" i="1"/>
  <c r="N17" i="1" s="1"/>
  <c r="O17" i="1"/>
  <c r="R17" i="1"/>
  <c r="S17" i="1" s="1"/>
  <c r="W17" i="1"/>
  <c r="I18" i="1"/>
  <c r="M18" i="1"/>
  <c r="N18" i="1" s="1"/>
  <c r="O18" i="1"/>
  <c r="R18" i="1"/>
  <c r="S18" i="1" s="1"/>
  <c r="W18" i="1"/>
  <c r="I19" i="1"/>
  <c r="M19" i="1"/>
  <c r="N19" i="1" s="1"/>
  <c r="O19" i="1"/>
  <c r="R19" i="1"/>
  <c r="S19" i="1" s="1"/>
  <c r="W19" i="1"/>
  <c r="I20" i="1"/>
  <c r="M20" i="1"/>
  <c r="N20" i="1" s="1"/>
  <c r="O20" i="1"/>
  <c r="R20" i="1"/>
  <c r="S20" i="1" s="1"/>
  <c r="W20" i="1"/>
  <c r="I21" i="1"/>
  <c r="M21" i="1"/>
  <c r="N21" i="1" s="1"/>
  <c r="O21" i="1"/>
  <c r="R21" i="1"/>
  <c r="S21" i="1" s="1"/>
  <c r="W21" i="1"/>
  <c r="I22" i="1"/>
  <c r="M22" i="1"/>
  <c r="N22" i="1" s="1"/>
  <c r="O22" i="1"/>
  <c r="R22" i="1"/>
  <c r="S22" i="1"/>
  <c r="W22" i="1"/>
  <c r="I23" i="1"/>
  <c r="M23" i="1"/>
  <c r="N23" i="1" s="1"/>
  <c r="O23" i="1"/>
  <c r="R23" i="1"/>
  <c r="S23" i="1" s="1"/>
  <c r="W23" i="1"/>
  <c r="I24" i="1"/>
  <c r="M24" i="1"/>
  <c r="N24" i="1" s="1"/>
  <c r="O24" i="1"/>
  <c r="R24" i="1"/>
  <c r="S24" i="1" s="1"/>
  <c r="W24" i="1"/>
  <c r="I25" i="1"/>
  <c r="M25" i="1"/>
  <c r="N25" i="1" s="1"/>
  <c r="O25" i="1"/>
  <c r="R25" i="1"/>
  <c r="S25" i="1" s="1"/>
  <c r="W25" i="1"/>
  <c r="I26" i="1"/>
  <c r="M26" i="1"/>
  <c r="N26" i="1" s="1"/>
  <c r="O26" i="1"/>
  <c r="R26" i="1"/>
  <c r="S26" i="1" s="1"/>
  <c r="W26" i="1"/>
  <c r="I27" i="1"/>
  <c r="M27" i="1"/>
  <c r="N27" i="1" s="1"/>
  <c r="O27" i="1"/>
  <c r="R27" i="1"/>
  <c r="S27" i="1" s="1"/>
  <c r="W27" i="1"/>
  <c r="I28" i="1"/>
  <c r="M28" i="1"/>
  <c r="N28" i="1" s="1"/>
  <c r="O28" i="1"/>
  <c r="R28" i="1"/>
  <c r="S28" i="1" s="1"/>
  <c r="W28" i="1"/>
  <c r="I29" i="1"/>
  <c r="M29" i="1"/>
  <c r="N29" i="1" s="1"/>
  <c r="O29" i="1"/>
  <c r="R29" i="1"/>
  <c r="S29" i="1" s="1"/>
  <c r="W29" i="1"/>
  <c r="I30" i="1"/>
  <c r="M30" i="1"/>
  <c r="N30" i="1" s="1"/>
  <c r="O30" i="1"/>
  <c r="R30" i="1"/>
  <c r="S30" i="1" s="1"/>
  <c r="W30" i="1"/>
  <c r="I31" i="1"/>
  <c r="M31" i="1"/>
  <c r="N31" i="1" s="1"/>
  <c r="O31" i="1"/>
  <c r="R31" i="1"/>
  <c r="S31" i="1" s="1"/>
  <c r="W31" i="1"/>
  <c r="I32" i="1"/>
  <c r="M32" i="1"/>
  <c r="N32" i="1" s="1"/>
  <c r="O32" i="1"/>
  <c r="R32" i="1"/>
  <c r="S32" i="1" s="1"/>
  <c r="W32" i="1"/>
  <c r="I33" i="1"/>
  <c r="M33" i="1"/>
  <c r="N33" i="1" s="1"/>
  <c r="O33" i="1"/>
  <c r="R33" i="1"/>
  <c r="S33" i="1" s="1"/>
  <c r="W33" i="1"/>
  <c r="I34" i="1"/>
  <c r="M34" i="1"/>
  <c r="N34" i="1" s="1"/>
  <c r="O34" i="1"/>
  <c r="R34" i="1"/>
  <c r="S34" i="1" s="1"/>
  <c r="W34" i="1"/>
  <c r="I35" i="1"/>
  <c r="M35" i="1"/>
  <c r="N35" i="1" s="1"/>
  <c r="O35" i="1"/>
  <c r="R35" i="1"/>
  <c r="S35" i="1" s="1"/>
  <c r="W35" i="1"/>
  <c r="I36" i="1"/>
  <c r="M36" i="1"/>
  <c r="N36" i="1" s="1"/>
  <c r="O36" i="1"/>
  <c r="R36" i="1"/>
  <c r="S36" i="1" s="1"/>
  <c r="W36" i="1"/>
  <c r="I37" i="1"/>
  <c r="M37" i="1"/>
  <c r="N37" i="1" s="1"/>
  <c r="O37" i="1"/>
  <c r="R37" i="1"/>
  <c r="S37" i="1" s="1"/>
  <c r="W37" i="1"/>
  <c r="I38" i="1"/>
  <c r="M38" i="1"/>
  <c r="N38" i="1" s="1"/>
  <c r="O38" i="1"/>
  <c r="R38" i="1"/>
  <c r="S38" i="1" s="1"/>
  <c r="W38" i="1"/>
  <c r="I39" i="1"/>
  <c r="M39" i="1"/>
  <c r="N39" i="1" s="1"/>
  <c r="O39" i="1"/>
  <c r="R39" i="1"/>
  <c r="S39" i="1" s="1"/>
  <c r="W39" i="1"/>
  <c r="I40" i="1"/>
  <c r="M40" i="1"/>
  <c r="N40" i="1" s="1"/>
  <c r="O40" i="1"/>
  <c r="R40" i="1"/>
  <c r="S40" i="1" s="1"/>
  <c r="W40" i="1"/>
  <c r="I41" i="1"/>
  <c r="M41" i="1"/>
  <c r="N41" i="1" s="1"/>
  <c r="O41" i="1"/>
  <c r="R41" i="1"/>
  <c r="S41" i="1" s="1"/>
  <c r="W41" i="1"/>
  <c r="I42" i="1"/>
  <c r="M42" i="1"/>
  <c r="N42" i="1" s="1"/>
  <c r="O42" i="1"/>
  <c r="R42" i="1"/>
  <c r="S42" i="1"/>
  <c r="W42" i="1"/>
  <c r="I43" i="1"/>
  <c r="M43" i="1"/>
  <c r="N43" i="1" s="1"/>
  <c r="O43" i="1"/>
  <c r="R43" i="1"/>
  <c r="S43" i="1" s="1"/>
  <c r="W43" i="1"/>
  <c r="I44" i="1"/>
  <c r="M44" i="1"/>
  <c r="N44" i="1" s="1"/>
  <c r="O44" i="1"/>
  <c r="R44" i="1"/>
  <c r="S44" i="1" s="1"/>
  <c r="W44" i="1"/>
  <c r="I45" i="1"/>
  <c r="M45" i="1"/>
  <c r="N45" i="1" s="1"/>
  <c r="O45" i="1"/>
  <c r="R45" i="1"/>
  <c r="S45" i="1" s="1"/>
  <c r="W45" i="1"/>
  <c r="I46" i="1"/>
  <c r="M46" i="1"/>
  <c r="N46" i="1" s="1"/>
  <c r="O46" i="1"/>
  <c r="R46" i="1"/>
  <c r="S46" i="1" s="1"/>
  <c r="W46" i="1"/>
  <c r="I47" i="1"/>
  <c r="M47" i="1"/>
  <c r="N47" i="1" s="1"/>
  <c r="O47" i="1"/>
  <c r="R47" i="1"/>
  <c r="S47" i="1" s="1"/>
  <c r="W47" i="1"/>
  <c r="I48" i="1"/>
  <c r="M48" i="1"/>
  <c r="N48" i="1" s="1"/>
  <c r="O48" i="1"/>
  <c r="R48" i="1"/>
  <c r="S48" i="1" s="1"/>
  <c r="W48" i="1"/>
  <c r="I49" i="1"/>
  <c r="M49" i="1"/>
  <c r="N49" i="1" s="1"/>
  <c r="O49" i="1"/>
  <c r="R49" i="1"/>
  <c r="S49" i="1" s="1"/>
  <c r="W49" i="1"/>
  <c r="I50" i="1"/>
  <c r="M50" i="1"/>
  <c r="N50" i="1" s="1"/>
  <c r="O50" i="1"/>
  <c r="R50" i="1"/>
  <c r="S50" i="1" s="1"/>
  <c r="W50" i="1"/>
  <c r="I51" i="1"/>
  <c r="M51" i="1"/>
  <c r="N51" i="1" s="1"/>
  <c r="O51" i="1"/>
  <c r="R51" i="1"/>
  <c r="S51" i="1" s="1"/>
  <c r="W51" i="1"/>
  <c r="I52" i="1"/>
  <c r="M52" i="1"/>
  <c r="N52" i="1" s="1"/>
  <c r="O52" i="1"/>
  <c r="R52" i="1"/>
  <c r="S52" i="1" s="1"/>
  <c r="W52" i="1"/>
  <c r="I53" i="1"/>
  <c r="M53" i="1"/>
  <c r="N53" i="1" s="1"/>
  <c r="O53" i="1"/>
  <c r="R53" i="1"/>
  <c r="S53" i="1" s="1"/>
  <c r="W53" i="1"/>
  <c r="I54" i="1"/>
  <c r="M54" i="1"/>
  <c r="N54" i="1" s="1"/>
  <c r="O54" i="1"/>
  <c r="R54" i="1"/>
  <c r="S54" i="1" s="1"/>
  <c r="W54" i="1"/>
  <c r="M55" i="1"/>
  <c r="N55" i="1" s="1"/>
  <c r="O55" i="1"/>
  <c r="R55" i="1"/>
  <c r="S55" i="1" s="1"/>
  <c r="W55" i="1"/>
  <c r="I56" i="1"/>
  <c r="M56" i="1"/>
  <c r="N56" i="1" s="1"/>
  <c r="O56" i="1"/>
  <c r="R56" i="1"/>
  <c r="S56" i="1" s="1"/>
  <c r="W56" i="1"/>
  <c r="I57" i="1"/>
  <c r="M57" i="1"/>
  <c r="N57" i="1" s="1"/>
  <c r="O57" i="1"/>
  <c r="R57" i="1"/>
  <c r="S57" i="1" s="1"/>
  <c r="W57" i="1"/>
  <c r="I58" i="1"/>
  <c r="M58" i="1"/>
  <c r="N58" i="1" s="1"/>
  <c r="O58" i="1"/>
  <c r="R58" i="1"/>
  <c r="S58" i="1" s="1"/>
  <c r="W58" i="1"/>
  <c r="I59" i="1"/>
  <c r="M59" i="1"/>
  <c r="N59" i="1" s="1"/>
  <c r="O59" i="1"/>
  <c r="R59" i="1"/>
  <c r="S59" i="1" s="1"/>
  <c r="W59" i="1"/>
  <c r="I60" i="1"/>
  <c r="M60" i="1"/>
  <c r="N60" i="1" s="1"/>
  <c r="O60" i="1"/>
  <c r="R60" i="1"/>
  <c r="S60" i="1" s="1"/>
  <c r="W60" i="1"/>
  <c r="J3" i="13"/>
  <c r="J6" i="13"/>
  <c r="J7" i="13"/>
  <c r="J8" i="13"/>
  <c r="J9" i="13"/>
  <c r="J10" i="13"/>
  <c r="J11" i="13"/>
  <c r="J12" i="13"/>
  <c r="J16" i="13"/>
  <c r="J13" i="13" l="1"/>
  <c r="J15" i="13"/>
  <c r="J14" i="13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3" i="1" l="1"/>
  <c r="AA213" i="1"/>
  <c r="B17" i="5" l="1"/>
  <c r="B17" i="12"/>
  <c r="B18" i="6"/>
  <c r="B17" i="11"/>
  <c r="B16" i="14"/>
  <c r="B18" i="10"/>
  <c r="B16" i="13"/>
  <c r="B18" i="9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J5" i="13" l="1"/>
  <c r="C17" i="12"/>
  <c r="D17" i="12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N14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D8" i="13" l="1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3" i="1"/>
  <c r="B3" i="5" l="1"/>
  <c r="B16" i="5" s="1"/>
  <c r="J4" i="13"/>
  <c r="G13" i="13"/>
  <c r="I13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F13" i="13"/>
  <c r="E4" i="13"/>
  <c r="H4" i="13"/>
  <c r="G14" i="13"/>
  <c r="D14" i="13"/>
  <c r="D4" i="13"/>
  <c r="G4" i="13"/>
  <c r="K4" i="13"/>
  <c r="C14" i="13"/>
  <c r="B3" i="14" l="1"/>
  <c r="B4" i="14" s="1"/>
  <c r="B16" i="12"/>
  <c r="B17" i="10"/>
  <c r="B17" i="9"/>
  <c r="B15" i="13"/>
  <c r="B4" i="10"/>
  <c r="B17" i="6"/>
  <c r="B15" i="14"/>
  <c r="B16" i="11"/>
  <c r="B4" i="9"/>
  <c r="L213" i="1"/>
  <c r="B8" i="11" s="1"/>
  <c r="M13" i="1"/>
  <c r="B5" i="14" l="1"/>
  <c r="B9" i="6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3" i="1"/>
  <c r="M213" i="1" s="1"/>
  <c r="B8" i="9" s="1"/>
  <c r="K213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Q213" i="1"/>
  <c r="B13" i="10" s="1"/>
  <c r="F213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I13" i="1"/>
  <c r="D4" i="11"/>
  <c r="D10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3" i="1"/>
  <c r="W133" i="1"/>
  <c r="W189" i="1"/>
  <c r="W190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3" i="9"/>
  <c r="C11" i="9"/>
  <c r="D11" i="6"/>
  <c r="E11" i="6"/>
  <c r="F11" i="6"/>
  <c r="E12" i="6"/>
  <c r="F12" i="6"/>
  <c r="D13" i="6"/>
  <c r="E13" i="6"/>
  <c r="F13" i="6"/>
  <c r="E14" i="6"/>
  <c r="F14" i="6"/>
  <c r="C14" i="6"/>
  <c r="C13" i="6"/>
  <c r="C12" i="6"/>
  <c r="C11" i="6"/>
  <c r="W13" i="1"/>
  <c r="W152" i="1"/>
  <c r="W104" i="1"/>
  <c r="W188" i="1"/>
  <c r="W200" i="1"/>
  <c r="W198" i="1"/>
  <c r="W175" i="1"/>
  <c r="W174" i="1"/>
  <c r="W136" i="1"/>
  <c r="W171" i="1"/>
  <c r="W172" i="1"/>
  <c r="W166" i="1"/>
  <c r="W120" i="1"/>
  <c r="W132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1" i="1"/>
  <c r="W122" i="1"/>
  <c r="W123" i="1"/>
  <c r="W124" i="1"/>
  <c r="W125" i="1"/>
  <c r="W126" i="1"/>
  <c r="W127" i="1"/>
  <c r="W128" i="1"/>
  <c r="W129" i="1"/>
  <c r="W130" i="1"/>
  <c r="W131" i="1"/>
  <c r="W134" i="1"/>
  <c r="W135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7" i="1"/>
  <c r="W168" i="1"/>
  <c r="W169" i="1"/>
  <c r="W170" i="1"/>
  <c r="W173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91" i="1"/>
  <c r="W192" i="1"/>
  <c r="W193" i="1"/>
  <c r="W194" i="1"/>
  <c r="W195" i="1"/>
  <c r="W196" i="1"/>
  <c r="W197" i="1"/>
  <c r="W199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X213" i="1"/>
  <c r="A104" i="1" l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Q10" i="9"/>
  <c r="B6" i="6"/>
  <c r="B5" i="12"/>
  <c r="B6" i="10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5" i="13"/>
  <c r="I5" i="13"/>
  <c r="E5" i="13"/>
  <c r="G5" i="13"/>
  <c r="D3" i="12"/>
  <c r="D16" i="12" s="1"/>
  <c r="H5" i="13"/>
  <c r="C3" i="12"/>
  <c r="C16" i="12" s="1"/>
  <c r="C5" i="13"/>
  <c r="K5" i="13"/>
  <c r="F5" i="13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6" i="11"/>
  <c r="B4" i="11"/>
  <c r="B6" i="12"/>
  <c r="F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D8" i="11"/>
  <c r="D9" i="1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3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3" i="1"/>
  <c r="C12" i="12"/>
  <c r="D4" i="12"/>
  <c r="I213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3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E12" i="14"/>
  <c r="E14" i="14" s="1"/>
  <c r="D12" i="14"/>
  <c r="D14" i="14" s="1"/>
  <c r="F12" i="14"/>
  <c r="F14" i="14" s="1"/>
  <c r="B8" i="13"/>
  <c r="B8" i="14"/>
  <c r="B10" i="5"/>
  <c r="B9" i="14"/>
  <c r="G4" i="14"/>
  <c r="F4" i="14"/>
  <c r="D4" i="14"/>
  <c r="E4" i="14"/>
  <c r="C4" i="14"/>
  <c r="B10" i="12"/>
  <c r="C8" i="12"/>
  <c r="B11" i="10"/>
  <c r="B9" i="13"/>
  <c r="C14" i="11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B11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AU15" i="9"/>
  <c r="AP15" i="9"/>
  <c r="AP3" i="9"/>
  <c r="AB3" i="9"/>
  <c r="AC15" i="9"/>
  <c r="X15" i="9"/>
  <c r="X3" i="9"/>
  <c r="J15" i="6"/>
  <c r="J3" i="6"/>
  <c r="J3" i="9"/>
  <c r="J15" i="9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G13" i="14" l="1"/>
  <c r="E13" i="14"/>
  <c r="D13" i="14"/>
  <c r="F13" i="14"/>
  <c r="B5" i="13"/>
  <c r="C15" i="6" l="1"/>
  <c r="C3" i="6"/>
  <c r="C13" i="13"/>
  <c r="C10" i="14"/>
  <c r="C12" i="14" s="1"/>
  <c r="P213" i="1"/>
  <c r="B10" i="13" s="1"/>
  <c r="R14" i="1"/>
  <c r="D13" i="12" s="1"/>
  <c r="D15" i="12" s="1"/>
  <c r="D11" i="12"/>
  <c r="D11" i="11"/>
  <c r="C12" i="9"/>
  <c r="D12" i="6"/>
  <c r="K10" i="13"/>
  <c r="K12" i="13" l="1"/>
  <c r="K13" i="13" s="1"/>
  <c r="D13" i="11"/>
  <c r="D14" i="11" s="1"/>
  <c r="C14" i="10"/>
  <c r="C14" i="9"/>
  <c r="C16" i="9" s="1"/>
  <c r="C14" i="14"/>
  <c r="C13" i="14"/>
  <c r="B12" i="6"/>
  <c r="R213" i="1"/>
  <c r="K14" i="13"/>
  <c r="B11" i="11"/>
  <c r="S14" i="1"/>
  <c r="S213" i="1" s="1"/>
  <c r="B12" i="10"/>
  <c r="B12" i="9"/>
  <c r="B10" i="14"/>
  <c r="D14" i="12"/>
  <c r="B11" i="12"/>
  <c r="B11" i="5"/>
  <c r="D14" i="6"/>
  <c r="C15" i="9" l="1"/>
  <c r="D15" i="11"/>
  <c r="C16" i="10"/>
  <c r="C15" i="10"/>
  <c r="B13" i="12"/>
  <c r="B14" i="10"/>
  <c r="B13" i="5"/>
  <c r="B14" i="6"/>
  <c r="B12" i="14"/>
  <c r="B13" i="11"/>
  <c r="B14" i="9"/>
  <c r="B12" i="13"/>
  <c r="D15" i="6"/>
  <c r="D16" i="6"/>
  <c r="B14" i="5" l="1"/>
  <c r="B15" i="5"/>
  <c r="B14" i="13"/>
  <c r="B13" i="13"/>
  <c r="B16" i="10"/>
  <c r="B15" i="10"/>
  <c r="B15" i="12"/>
  <c r="B14" i="12"/>
  <c r="B16" i="9"/>
  <c r="B15" i="9"/>
  <c r="B15" i="11"/>
  <c r="B14" i="11"/>
  <c r="B13" i="14"/>
  <c r="B14" i="14"/>
  <c r="B15" i="6"/>
  <c r="B1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<sst xmlns="http://schemas.openxmlformats.org/spreadsheetml/2006/main" count="2013" uniqueCount="426">
  <si>
    <t>Desk Manager(s)</t>
  </si>
  <si>
    <t>Finance Manager(s)</t>
  </si>
  <si>
    <t>Sales Consultant(s)</t>
  </si>
  <si>
    <t>New Car Franchise(s)</t>
  </si>
  <si>
    <t>Control (brand)</t>
  </si>
  <si>
    <t>Bob Atwood</t>
  </si>
  <si>
    <t>Mike Lucki</t>
  </si>
  <si>
    <t>Volkswagen</t>
  </si>
  <si>
    <t>Acura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</si>
  <si>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</si>
  <si>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</si>
  <si>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</si>
  <si>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</si>
  <si>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</si>
  <si>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</si>
  <si>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</si>
  <si>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</si>
  <si>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</si>
  <si>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</si>
  <si>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</si>
  <si>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</si>
  <si>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</si>
  <si>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</si>
  <si>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</si>
  <si>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</si>
  <si>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</si>
  <si>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</si>
  <si>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</si>
  <si>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</si>
  <si>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</si>
  <si>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</si>
  <si>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</si>
  <si>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</si>
  <si>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</si>
  <si>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</si>
  <si>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</si>
  <si>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</si>
  <si>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</si>
  <si>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</si>
  <si>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</si>
  <si>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</si>
  <si>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</si>
  <si>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</si>
  <si>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</si>
  <si>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</si>
  <si>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</si>
  <si>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</si>
  <si>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</si>
  <si>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</si>
  <si>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</si>
  <si>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</si>
  <si>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</si>
  <si>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</si>
  <si>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</si>
  <si>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</si>
  <si>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</si>
  <si>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</si>
  <si>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</si>
  <si>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</si>
  <si>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</si>
  <si>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</si>
  <si>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</si>
  <si>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</si>
  <si>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</si>
  <si>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</si>
  <si>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</si>
  <si>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</si>
  <si>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</si>
  <si>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</si>
  <si>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</si>
  <si>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</si>
  <si>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</si>
  <si>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</si>
  <si>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</si>
  <si>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</si>
  <si>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</si>
  <si>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</si>
  <si>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</si>
  <si>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</si>
  <si>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</si>
  <si>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</si>
  <si>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</si>
  <si>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</si>
  <si>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</si>
  <si>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</si>
  <si>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</si>
  <si>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</si>
  <si>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</si>
  <si>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</si>
  <si>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</si>
  <si>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</si>
  <si>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</si>
  <si>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</si>
  <si>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</si>
  <si>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</si>
  <si>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</si>
  <si>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</si>
  <si>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</si>
  <si>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</si>
  <si>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</si>
  <si>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</si>
  <si>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</si>
  <si>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</si>
  <si>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</si>
  <si>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</si>
  <si>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</si>
  <si>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</si>
  <si>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</si>
  <si>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</si>
  <si>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</si>
  <si>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</si>
  <si>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</si>
  <si>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</si>
  <si>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</si>
  <si>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</si>
  <si>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</si>
  <si>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</si>
  <si>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</si>
  <si>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</si>
  <si>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</si>
  <si>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</si>
  <si>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</si>
  <si>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</si>
  <si>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</si>
  <si>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</si>
  <si>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</si>
  <si>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</si>
  <si>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</si>
  <si>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</si>
  <si>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</si>
  <si>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</si>
  <si>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</si>
  <si>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</si>
  <si>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</si>
  <si>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</si>
  <si>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</si>
  <si>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</si>
  <si>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</si>
  <si>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</si>
  <si>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</si>
  <si>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</si>
  <si>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</si>
  <si>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</si>
  <si>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</si>
  <si>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</si>
  <si>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</si>
  <si>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</si>
  <si>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</si>
  <si>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</si>
  <si>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</si>
  <si>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</si>
  <si>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</si>
  <si>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</si>
  <si>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Josh Cohen</t>
  </si>
  <si>
    <t>Cathy Lammer</t>
  </si>
  <si>
    <t>Timothy Kehrein</t>
  </si>
  <si>
    <t>F150</t>
  </si>
  <si>
    <t>C22663B</t>
  </si>
  <si>
    <t>Wrangler</t>
  </si>
  <si>
    <t>Drew Shepherd</t>
  </si>
  <si>
    <t>Jeff Kelly</t>
  </si>
  <si>
    <t>Amy Bobbitt</t>
  </si>
  <si>
    <t>Randall Kline</t>
  </si>
  <si>
    <t>Debbie Butler</t>
  </si>
  <si>
    <t>Crystal Arthur</t>
  </si>
  <si>
    <t>Brenan Rogers</t>
  </si>
  <si>
    <t>Scott Rogers</t>
  </si>
  <si>
    <t>B23099B</t>
  </si>
  <si>
    <t>Cherokee</t>
  </si>
  <si>
    <t>BP4488</t>
  </si>
  <si>
    <t>Jason Lear</t>
  </si>
  <si>
    <t>BP4551</t>
  </si>
  <si>
    <t>CRZ</t>
  </si>
  <si>
    <t>BP4547</t>
  </si>
  <si>
    <t>Malibu</t>
  </si>
  <si>
    <t>House</t>
  </si>
  <si>
    <t>CP1594</t>
  </si>
  <si>
    <t>CP1583</t>
  </si>
  <si>
    <t>Tucson</t>
  </si>
  <si>
    <t>BP4529A</t>
  </si>
  <si>
    <t>BG23159M</t>
  </si>
  <si>
    <t>G23148A</t>
  </si>
  <si>
    <t>Colorado</t>
  </si>
  <si>
    <t>B22169B</t>
  </si>
  <si>
    <t>Patriot</t>
  </si>
  <si>
    <t>G23275A</t>
  </si>
  <si>
    <t>Cascada</t>
  </si>
  <si>
    <t>Silverado 1500</t>
  </si>
  <si>
    <t>B23105A</t>
  </si>
  <si>
    <t>CP1566A</t>
  </si>
  <si>
    <t>Rogue</t>
  </si>
  <si>
    <t>BP4517</t>
  </si>
  <si>
    <t>Traverse</t>
  </si>
  <si>
    <t>BP4554</t>
  </si>
  <si>
    <t>BP4544</t>
  </si>
  <si>
    <t>Expedition</t>
  </si>
  <si>
    <t>BP4558</t>
  </si>
  <si>
    <t>Crosstrek</t>
  </si>
  <si>
    <t>BP4555</t>
  </si>
  <si>
    <t>Rio</t>
  </si>
  <si>
    <t>G23127A</t>
  </si>
  <si>
    <t>Fusion</t>
  </si>
  <si>
    <t>C23164A</t>
  </si>
  <si>
    <t>BP4457B</t>
  </si>
  <si>
    <t>Journey</t>
  </si>
  <si>
    <t>BC6046A</t>
  </si>
  <si>
    <t>PF23153A</t>
  </si>
  <si>
    <t>Town &amp; Country</t>
  </si>
  <si>
    <t>PF23179B</t>
  </si>
  <si>
    <t>BG1594A</t>
  </si>
  <si>
    <t>Acadia</t>
  </si>
  <si>
    <t>CP1562</t>
  </si>
  <si>
    <t>BP4473</t>
  </si>
  <si>
    <t>Trax</t>
  </si>
  <si>
    <t>BP4473A</t>
  </si>
  <si>
    <t>Impala</t>
  </si>
  <si>
    <t>GP6062</t>
  </si>
  <si>
    <t>Sierra 1500</t>
  </si>
  <si>
    <t>BG1548N</t>
  </si>
  <si>
    <t>B23081A</t>
  </si>
  <si>
    <t>B23095A</t>
  </si>
  <si>
    <t>BP4510</t>
  </si>
  <si>
    <t>BP4540</t>
  </si>
  <si>
    <t>BG1575A</t>
  </si>
  <si>
    <t>CP1574</t>
  </si>
  <si>
    <t>Armada</t>
  </si>
  <si>
    <t>BP4510A</t>
  </si>
  <si>
    <t>BG23164B</t>
  </si>
  <si>
    <t>BG6046B</t>
  </si>
  <si>
    <t>Avalanche</t>
  </si>
  <si>
    <t>B23038B</t>
  </si>
  <si>
    <t>Terrain</t>
  </si>
  <si>
    <t>j6030.80</t>
  </si>
  <si>
    <t>BC1506A</t>
  </si>
  <si>
    <t>370Z</t>
  </si>
  <si>
    <t>GP5987B</t>
  </si>
  <si>
    <t>PF1613P</t>
  </si>
  <si>
    <t>WRX</t>
  </si>
  <si>
    <t>BC23190A</t>
  </si>
  <si>
    <t>BP4565</t>
  </si>
  <si>
    <t>Grand Caravan</t>
  </si>
  <si>
    <t>B23103A</t>
  </si>
  <si>
    <t>b23038b</t>
  </si>
  <si>
    <t>BP4425</t>
  </si>
  <si>
    <t>G23269A</t>
  </si>
  <si>
    <t>Enclave</t>
  </si>
  <si>
    <t>B23079A</t>
  </si>
  <si>
    <t>BP4520</t>
  </si>
  <si>
    <t>Blazer</t>
  </si>
  <si>
    <t>BP4552</t>
  </si>
  <si>
    <t>Carnival</t>
  </si>
  <si>
    <t>PF1600P</t>
  </si>
  <si>
    <t>BC23093B</t>
  </si>
  <si>
    <t>B22170A</t>
  </si>
  <si>
    <t>BG23093C</t>
  </si>
  <si>
    <t>BG1613Q</t>
  </si>
  <si>
    <t>Mazda3</t>
  </si>
  <si>
    <t>GP6044</t>
  </si>
  <si>
    <t>Compass</t>
  </si>
  <si>
    <t>BP4517A</t>
  </si>
  <si>
    <t>Highlander</t>
  </si>
  <si>
    <t>B24006A</t>
  </si>
  <si>
    <t>CP1547A</t>
  </si>
  <si>
    <t>Escape</t>
  </si>
  <si>
    <t>BG23093M</t>
  </si>
  <si>
    <t>Challenger</t>
  </si>
  <si>
    <t>BP4565A</t>
  </si>
  <si>
    <t>B23122A</t>
  </si>
  <si>
    <t>Soul</t>
  </si>
  <si>
    <t>C22652A</t>
  </si>
  <si>
    <t>BP4544A</t>
  </si>
  <si>
    <t>F-150</t>
  </si>
  <si>
    <t>BG23190B</t>
  </si>
  <si>
    <t>BP4579A</t>
  </si>
  <si>
    <t>Silverado 2500</t>
  </si>
  <si>
    <t>BG22652B</t>
  </si>
  <si>
    <t>Canyon</t>
  </si>
  <si>
    <t>BP4571</t>
  </si>
  <si>
    <t>CRV</t>
  </si>
  <si>
    <t>BP4462</t>
  </si>
  <si>
    <t>Silverado</t>
  </si>
  <si>
    <t>B23120A</t>
  </si>
  <si>
    <t>BP4574</t>
  </si>
  <si>
    <t>B23081B</t>
  </si>
  <si>
    <t>BP4568</t>
  </si>
  <si>
    <t>Corolla</t>
  </si>
  <si>
    <t>B24012A</t>
  </si>
  <si>
    <t>BC4556A</t>
  </si>
  <si>
    <t>Tahoe</t>
  </si>
  <si>
    <t>PF23209A</t>
  </si>
  <si>
    <t>Renegade</t>
  </si>
  <si>
    <t>B24006B</t>
  </si>
  <si>
    <t>G23308B</t>
  </si>
  <si>
    <t>B1212A</t>
  </si>
  <si>
    <t>B24007A</t>
  </si>
  <si>
    <t>Envision</t>
  </si>
  <si>
    <t>BG23190C</t>
  </si>
  <si>
    <t>Rav4</t>
  </si>
  <si>
    <t>PF1572P</t>
  </si>
  <si>
    <t>Tacoma</t>
  </si>
  <si>
    <t>BG1547B</t>
  </si>
  <si>
    <t>Telluride</t>
  </si>
  <si>
    <t>BP4517B</t>
  </si>
  <si>
    <t>Santa Fe</t>
  </si>
  <si>
    <t>BC4722A</t>
  </si>
  <si>
    <t>BG22652C</t>
  </si>
  <si>
    <t>BP4578</t>
  </si>
  <si>
    <t>B24008B</t>
  </si>
  <si>
    <t>BP4566</t>
  </si>
  <si>
    <t>Corvette</t>
  </si>
  <si>
    <t>BP4580</t>
  </si>
  <si>
    <t>350Z</t>
  </si>
  <si>
    <t>PF1647P</t>
  </si>
  <si>
    <t>BP4538</t>
  </si>
  <si>
    <t>Q730QT</t>
  </si>
  <si>
    <t>BG23318A</t>
  </si>
  <si>
    <t>BG1547C</t>
  </si>
  <si>
    <t>B24004A</t>
  </si>
  <si>
    <t>BP4586</t>
  </si>
  <si>
    <t>BC23204B</t>
  </si>
  <si>
    <t>B23123B</t>
  </si>
  <si>
    <t>BP4560</t>
  </si>
  <si>
    <t>.</t>
  </si>
  <si>
    <t>BP4575</t>
  </si>
  <si>
    <t>B23098A</t>
  </si>
  <si>
    <t>BP4524</t>
  </si>
  <si>
    <t>Savanah 2500</t>
  </si>
  <si>
    <t>GP6082A</t>
  </si>
  <si>
    <t>B23098B</t>
  </si>
  <si>
    <t>Cruze</t>
  </si>
  <si>
    <t>BC4691C</t>
  </si>
  <si>
    <t>F-250</t>
  </si>
  <si>
    <t>Yukon</t>
  </si>
  <si>
    <t>BP4315</t>
  </si>
  <si>
    <t>BP4591</t>
  </si>
  <si>
    <t>Grand Cherokee L</t>
  </si>
  <si>
    <t>BP4501</t>
  </si>
  <si>
    <t>Dart</t>
  </si>
  <si>
    <t>C23283Z</t>
  </si>
  <si>
    <t>C23242A</t>
  </si>
  <si>
    <t>Bronco</t>
  </si>
  <si>
    <t>23212A</t>
  </si>
  <si>
    <t>Promaster</t>
  </si>
  <si>
    <t>BP4575A</t>
  </si>
  <si>
    <t>BP4529B</t>
  </si>
  <si>
    <t>BP4592</t>
  </si>
  <si>
    <t>PF1640P</t>
  </si>
  <si>
    <t>B24010A</t>
  </si>
  <si>
    <t>B23091C</t>
  </si>
  <si>
    <t>MKC</t>
  </si>
  <si>
    <t>BP4557</t>
  </si>
  <si>
    <t>PF1655P</t>
  </si>
  <si>
    <t>BG1640Q</t>
  </si>
  <si>
    <t>Murano</t>
  </si>
  <si>
    <t>CV23247A</t>
  </si>
  <si>
    <t>Durango</t>
  </si>
  <si>
    <t>B23106A</t>
  </si>
  <si>
    <t>Frontier</t>
  </si>
  <si>
    <t>B22151C</t>
  </si>
  <si>
    <t>CP1581A</t>
  </si>
  <si>
    <t>BG1581B</t>
  </si>
  <si>
    <t>Grand Cherokee</t>
  </si>
  <si>
    <t>BG1581C</t>
  </si>
  <si>
    <t>Trailblazer</t>
  </si>
  <si>
    <t>BP4583</t>
  </si>
  <si>
    <t>BG23242B</t>
  </si>
  <si>
    <t>BP4569</t>
  </si>
  <si>
    <t>BP4597</t>
  </si>
  <si>
    <t>Explorer</t>
  </si>
  <si>
    <t>B23113A</t>
  </si>
  <si>
    <t>BG23123C</t>
  </si>
  <si>
    <t>Focus</t>
  </si>
  <si>
    <t>BP4595</t>
  </si>
  <si>
    <t>Spark</t>
  </si>
  <si>
    <t>BP4498A</t>
  </si>
  <si>
    <t>BP4526A</t>
  </si>
  <si>
    <t>Flex</t>
  </si>
  <si>
    <t>B23120B</t>
  </si>
  <si>
    <t>G23268B</t>
  </si>
  <si>
    <t>BP4525</t>
  </si>
  <si>
    <t>CP1564A</t>
  </si>
  <si>
    <t>GP6043</t>
  </si>
  <si>
    <t>B23134A</t>
  </si>
  <si>
    <t>BP4591A</t>
  </si>
  <si>
    <t>BP4530</t>
  </si>
  <si>
    <t>B24017A</t>
  </si>
  <si>
    <t>BP4517C</t>
  </si>
  <si>
    <t>B24025A</t>
  </si>
  <si>
    <t>CP1584A</t>
  </si>
  <si>
    <t>B22148A</t>
  </si>
  <si>
    <t>Mustang</t>
  </si>
  <si>
    <t>BP4560A</t>
  </si>
  <si>
    <t>Encore</t>
  </si>
  <si>
    <t>B23136A</t>
  </si>
  <si>
    <t>BP4605</t>
  </si>
  <si>
    <t>BP4606</t>
  </si>
  <si>
    <t>BP4577</t>
  </si>
  <si>
    <t>Sierra 2500</t>
  </si>
  <si>
    <t>BG23204C</t>
  </si>
  <si>
    <t>G23356A</t>
  </si>
  <si>
    <t>BP4559</t>
  </si>
  <si>
    <t>PF1542P</t>
  </si>
  <si>
    <t>BP4603</t>
  </si>
  <si>
    <t>BP4566A</t>
  </si>
  <si>
    <t xml:space="preserve">BP4520A </t>
  </si>
  <si>
    <t>4Runner</t>
  </si>
  <si>
    <t>B23131A</t>
  </si>
  <si>
    <t>BC22564A</t>
  </si>
  <si>
    <t>BP4609</t>
  </si>
  <si>
    <t>Ecosport</t>
  </si>
  <si>
    <t>B23082N</t>
  </si>
  <si>
    <t>BP4498B</t>
  </si>
  <si>
    <t>Solstice</t>
  </si>
  <si>
    <t>BP4586A</t>
  </si>
  <si>
    <t>C23245A</t>
  </si>
  <si>
    <t>BP4612</t>
  </si>
  <si>
    <t>BG1574A</t>
  </si>
  <si>
    <t>Sportage</t>
  </si>
  <si>
    <t>B24023A</t>
  </si>
  <si>
    <t>CP1614</t>
  </si>
  <si>
    <t>CVP4755</t>
  </si>
  <si>
    <t>BP4578A</t>
  </si>
  <si>
    <t>BP4602</t>
  </si>
  <si>
    <t>BP4613</t>
  </si>
  <si>
    <t>B23117A</t>
  </si>
  <si>
    <t>C23323A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</si>
</sst>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9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left" vertical="center"/>
      <protection locked="0"/>
    </xf>
    <xf numFmtId="0" fontId="0" fillId="11" borderId="14" xfId="0" applyFill="1" applyBorder="1" applyAlignment="1" applyProtection="1">
      <alignment horizontal="center" vertical="center"/>
      <protection locked="0"/>
    </xf>
    <xf numFmtId="3" fontId="0" fillId="11" borderId="1" xfId="0" applyNumberFormat="1" applyFill="1" applyBorder="1" applyAlignment="1" applyProtection="1">
      <alignment horizontal="right" vertical="center"/>
      <protection locked="0"/>
    </xf>
    <xf numFmtId="164" fontId="3" fillId="11" borderId="14" xfId="1" applyNumberFormat="1" applyFill="1" applyBorder="1" applyAlignment="1" applyProtection="1">
      <alignment horizontal="center"/>
      <protection locked="0"/>
    </xf>
    <xf numFmtId="164" fontId="3" fillId="11" borderId="1" xfId="1" applyNumberFormat="1" applyFont="1" applyFill="1" applyBorder="1" applyProtection="1">
      <protection locked="0"/>
    </xf>
    <xf numFmtId="164" fontId="3" fillId="11" borderId="14" xfId="1" applyNumberFormat="1" applyFill="1" applyBorder="1" applyProtection="1">
      <protection locked="0"/>
    </xf>
    <xf numFmtId="9" fontId="3" fillId="11" borderId="14" xfId="2" applyFill="1" applyBorder="1" applyProtection="1">
      <protection locked="0"/>
    </xf>
    <xf numFmtId="164" fontId="0" fillId="11" borderId="14" xfId="1" applyNumberFormat="1" applyFont="1" applyFill="1" applyBorder="1" applyProtection="1">
      <protection locked="0"/>
    </xf>
    <xf numFmtId="6" fontId="0" fillId="11" borderId="1" xfId="0" applyNumberFormat="1" applyFill="1" applyBorder="1" applyProtection="1">
      <protection locked="0"/>
    </xf>
    <xf numFmtId="6" fontId="0" fillId="11" borderId="14" xfId="0" applyNumberFormat="1" applyFill="1" applyBorder="1" applyProtection="1">
      <protection locked="0"/>
    </xf>
    <xf numFmtId="9" fontId="0" fillId="11" borderId="14" xfId="0" applyNumberFormat="1" applyFill="1" applyBorder="1" applyProtection="1">
      <protection locked="0"/>
    </xf>
    <xf numFmtId="0" fontId="0" fillId="11" borderId="14" xfId="0" applyFill="1" applyBorder="1" applyProtection="1">
      <protection locked="0"/>
    </xf>
    <xf numFmtId="0" fontId="0" fillId="11" borderId="2" xfId="0" applyFill="1" applyBorder="1" applyProtection="1">
      <protection locked="0"/>
    </xf>
    <xf numFmtId="0" fontId="0" fillId="11" borderId="0" xfId="0" applyFill="1" applyProtection="1">
      <protection locked="0"/>
    </xf>
    <xf numFmtId="6" fontId="0" fillId="11" borderId="1" xfId="0" applyNumberFormat="1" applyFill="1" applyBorder="1" applyAlignment="1" applyProtection="1">
      <alignment horizontal="center" vertical="center"/>
      <protection locked="0"/>
    </xf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  <xf numFmtId="164" fontId="0" fillId="11" borderId="1" xfId="1" applyNumberFormat="1" applyFont="1" applyFill="1" applyBorder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1148098</xdr:colOff>
      <xdr:row>3</xdr:row>
      <xdr:rowOff>51506</xdr:rowOff>
    </xdr:from>
    <xdr:to>
      <xdr:col>28</xdr:col>
      <xdr:colOff>64992</xdr:colOff>
      <xdr:row>7</xdr:row>
      <xdr:rowOff>115956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0228" y="821789"/>
          <a:ext cx="2312764" cy="10583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D8" sqref="D8"/>
    </sheetView>
  </sheetViews>
  <sheetFormatPr defaultRowHeight="15"/>
  <cols>
    <col min="1" max="4" width="25.7109375" customWidth="1"/>
    <col min="5" max="5" width="17.570312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159</v>
      </c>
      <c r="B2" s="2" t="s">
        <v>160</v>
      </c>
      <c r="C2" s="2" t="s">
        <v>161</v>
      </c>
      <c r="D2" s="2" t="s">
        <v>17</v>
      </c>
      <c r="E2" s="41" t="s">
        <v>8</v>
      </c>
    </row>
    <row r="3" spans="1:5">
      <c r="A3" s="2" t="s">
        <v>166</v>
      </c>
      <c r="B3" s="2"/>
      <c r="C3" s="2" t="s">
        <v>162</v>
      </c>
      <c r="D3" s="2"/>
      <c r="E3" s="3" t="s">
        <v>10</v>
      </c>
    </row>
    <row r="4" spans="1:5">
      <c r="A4" s="2"/>
      <c r="B4" s="2"/>
      <c r="C4" s="2" t="s">
        <v>163</v>
      </c>
      <c r="D4" s="2"/>
      <c r="E4" s="3" t="s">
        <v>11</v>
      </c>
    </row>
    <row r="5" spans="1:5">
      <c r="A5" s="2"/>
      <c r="B5" s="2"/>
      <c r="C5" s="2" t="s">
        <v>164</v>
      </c>
      <c r="D5" s="2"/>
      <c r="E5" s="3" t="s">
        <v>9</v>
      </c>
    </row>
    <row r="6" spans="1:5">
      <c r="A6" s="2"/>
      <c r="B6" s="2"/>
      <c r="C6" s="2" t="s">
        <v>165</v>
      </c>
      <c r="D6" s="2"/>
      <c r="E6" s="3" t="s">
        <v>12</v>
      </c>
    </row>
    <row r="7" spans="1:5">
      <c r="A7" s="2"/>
      <c r="B7" s="2"/>
      <c r="C7" s="2" t="s">
        <v>170</v>
      </c>
      <c r="D7" s="2"/>
      <c r="E7" s="3" t="s">
        <v>13</v>
      </c>
    </row>
    <row r="8" spans="1:5">
      <c r="A8" s="2"/>
      <c r="B8" s="2"/>
      <c r="C8" s="2" t="s">
        <v>175</v>
      </c>
      <c r="D8" s="2"/>
      <c r="E8" s="3" t="s">
        <v>14</v>
      </c>
    </row>
    <row r="9" spans="1:5">
      <c r="A9" s="2"/>
      <c r="B9" s="2"/>
      <c r="C9" s="2"/>
      <c r="D9" s="2"/>
      <c r="E9" s="3" t="s">
        <v>15</v>
      </c>
    </row>
    <row r="10" spans="1:5">
      <c r="A10" s="2"/>
      <c r="B10" s="2"/>
      <c r="C10" s="2"/>
      <c r="D10" s="2"/>
      <c r="E10" s="3" t="s">
        <v>16</v>
      </c>
    </row>
    <row r="11" spans="1:5">
      <c r="A11" s="2"/>
      <c r="B11" s="2"/>
      <c r="C11" s="2"/>
      <c r="D11" s="2"/>
      <c r="E11" s="3" t="s">
        <v>17</v>
      </c>
    </row>
    <row r="12" spans="1:5">
      <c r="A12" s="2"/>
      <c r="B12" s="2"/>
      <c r="C12" s="2"/>
      <c r="D12" s="2"/>
      <c r="E12" s="3" t="s">
        <v>18</v>
      </c>
    </row>
    <row r="13" spans="1:5">
      <c r="A13" s="2"/>
      <c r="B13" s="2"/>
      <c r="C13" s="2"/>
      <c r="D13" s="2"/>
      <c r="E13" s="3" t="s">
        <v>19</v>
      </c>
    </row>
    <row r="14" spans="1:5">
      <c r="A14" s="2"/>
      <c r="B14" s="2"/>
      <c r="C14" s="2"/>
      <c r="D14" s="2"/>
      <c r="E14" s="3" t="s">
        <v>20</v>
      </c>
    </row>
    <row r="15" spans="1:5">
      <c r="A15" s="2"/>
      <c r="B15" s="2"/>
      <c r="C15" s="2"/>
      <c r="D15" s="2"/>
      <c r="E15" s="3" t="s">
        <v>21</v>
      </c>
    </row>
    <row r="16" spans="1:5">
      <c r="A16" s="2"/>
      <c r="B16" s="2"/>
      <c r="C16" s="2"/>
      <c r="D16" s="2"/>
      <c r="E16" s="3" t="s">
        <v>22</v>
      </c>
    </row>
    <row r="17" spans="1:5">
      <c r="A17" s="2"/>
      <c r="B17" s="2"/>
      <c r="C17" s="2"/>
      <c r="D17" s="2"/>
      <c r="E17" s="3" t="s">
        <v>23</v>
      </c>
    </row>
    <row r="18" spans="1:5">
      <c r="A18" s="2"/>
      <c r="B18" s="2"/>
      <c r="C18" s="2"/>
      <c r="D18" s="2"/>
      <c r="E18" s="3" t="s">
        <v>24</v>
      </c>
    </row>
    <row r="19" spans="1:5">
      <c r="A19" s="2"/>
      <c r="B19" s="2"/>
      <c r="C19" s="2"/>
      <c r="D19" s="2"/>
      <c r="E19" s="3" t="s">
        <v>25</v>
      </c>
    </row>
    <row r="20" spans="1:5">
      <c r="A20" s="2"/>
      <c r="B20" s="2"/>
      <c r="C20" s="2"/>
      <c r="D20" s="2"/>
      <c r="E20" s="3" t="s">
        <v>26</v>
      </c>
    </row>
    <row r="21" spans="1:5">
      <c r="A21" s="2"/>
      <c r="B21" s="2"/>
      <c r="C21" s="2"/>
      <c r="D21" s="2"/>
      <c r="E21" s="3" t="s">
        <v>27</v>
      </c>
    </row>
    <row r="22" spans="1:5">
      <c r="A22" s="2"/>
      <c r="B22" s="2"/>
      <c r="C22" s="2"/>
      <c r="D22" s="2"/>
      <c r="E22" s="3" t="s">
        <v>28</v>
      </c>
    </row>
    <row r="23" spans="1:5">
      <c r="A23" s="2"/>
      <c r="B23" s="2"/>
      <c r="C23" s="2"/>
      <c r="D23" s="2"/>
      <c r="E23" s="3" t="s">
        <v>29</v>
      </c>
    </row>
    <row r="24" spans="1:5">
      <c r="A24" s="2"/>
      <c r="B24" s="2"/>
      <c r="C24" s="2"/>
      <c r="D24" s="2"/>
      <c r="E24" s="3" t="s">
        <v>30</v>
      </c>
    </row>
    <row r="25" spans="1:5">
      <c r="A25" s="2"/>
      <c r="B25" s="2"/>
      <c r="C25" s="2"/>
      <c r="D25" s="2"/>
      <c r="E25" s="3" t="s">
        <v>31</v>
      </c>
    </row>
    <row r="26" spans="1:5">
      <c r="A26" s="2"/>
      <c r="B26" s="2"/>
      <c r="C26" s="2"/>
      <c r="D26" s="2"/>
      <c r="E26" s="3" t="s">
        <v>32</v>
      </c>
    </row>
    <row r="27" spans="1:5">
      <c r="A27" s="2"/>
      <c r="B27" s="2"/>
      <c r="C27" s="2"/>
      <c r="D27" s="2"/>
      <c r="E27" s="3" t="s">
        <v>33</v>
      </c>
    </row>
    <row r="28" spans="1:5">
      <c r="A28" s="2"/>
      <c r="B28" s="2"/>
      <c r="C28" s="2"/>
      <c r="D28" s="2"/>
      <c r="E28" s="3" t="s">
        <v>34</v>
      </c>
    </row>
    <row r="29" spans="1:5">
      <c r="A29" s="2"/>
      <c r="B29" s="2"/>
      <c r="C29" s="2"/>
      <c r="D29" s="2"/>
      <c r="E29" s="3" t="s">
        <v>35</v>
      </c>
    </row>
    <row r="30" spans="1:5">
      <c r="A30" s="2"/>
      <c r="B30" s="2"/>
      <c r="C30" s="2"/>
      <c r="D30" s="2"/>
      <c r="E30" s="3" t="s">
        <v>36</v>
      </c>
    </row>
    <row r="31" spans="1:5">
      <c r="A31" s="2"/>
      <c r="B31" s="2"/>
      <c r="C31" s="2"/>
      <c r="D31" s="2"/>
      <c r="E31" s="3" t="s">
        <v>37</v>
      </c>
    </row>
    <row r="32" spans="1:5">
      <c r="A32" s="2"/>
      <c r="B32" s="2"/>
      <c r="C32" s="2"/>
      <c r="D32" s="2"/>
      <c r="E32" s="3" t="s">
        <v>38</v>
      </c>
    </row>
    <row r="33" spans="1:5">
      <c r="A33" s="2"/>
      <c r="B33" s="2"/>
      <c r="C33" s="2"/>
      <c r="D33" s="2"/>
      <c r="E33" s="3" t="s">
        <v>39</v>
      </c>
    </row>
    <row r="34" spans="1:5">
      <c r="A34" s="2"/>
      <c r="B34" s="2"/>
      <c r="C34" s="2"/>
      <c r="D34" s="2"/>
      <c r="E34" s="3" t="s">
        <v>40</v>
      </c>
    </row>
    <row r="35" spans="1:5">
      <c r="A35" s="2"/>
      <c r="B35" s="2"/>
      <c r="C35" s="2"/>
      <c r="D35" s="2"/>
      <c r="E35" s="3" t="s">
        <v>41</v>
      </c>
    </row>
    <row r="36" spans="1:5">
      <c r="A36" s="2"/>
      <c r="B36" s="2"/>
      <c r="C36" s="2"/>
      <c r="D36" s="2"/>
      <c r="E36" s="3" t="s">
        <v>42</v>
      </c>
    </row>
    <row r="37" spans="1:5">
      <c r="A37" s="2"/>
      <c r="B37" s="2"/>
      <c r="C37" s="2"/>
      <c r="D37" s="2"/>
      <c r="E37" s="3" t="s">
        <v>43</v>
      </c>
    </row>
    <row r="38" spans="1:5">
      <c r="A38" s="2"/>
      <c r="B38" s="2"/>
      <c r="C38" s="2"/>
      <c r="D38" s="2"/>
      <c r="E38" s="3" t="s">
        <v>44</v>
      </c>
    </row>
    <row r="39" spans="1:5">
      <c r="A39" s="2"/>
      <c r="B39" s="2"/>
      <c r="C39" s="2"/>
      <c r="D39" s="2"/>
      <c r="E39" s="3" t="s">
        <v>45</v>
      </c>
    </row>
    <row r="40" spans="1:5">
      <c r="A40" s="2"/>
      <c r="B40" s="2"/>
      <c r="C40" s="2"/>
      <c r="D40" s="2"/>
      <c r="E40" s="3" t="s">
        <v>46</v>
      </c>
    </row>
    <row r="41" spans="1:5">
      <c r="A41" s="2"/>
      <c r="B41" s="2"/>
      <c r="C41" s="2"/>
      <c r="D41" s="2"/>
      <c r="E41" s="3" t="s">
        <v>47</v>
      </c>
    </row>
    <row r="42" spans="1:5">
      <c r="A42" s="2"/>
      <c r="B42" s="2"/>
      <c r="C42" s="2"/>
      <c r="D42" s="2"/>
      <c r="E42" s="3" t="s">
        <v>48</v>
      </c>
    </row>
    <row r="43" spans="1:5">
      <c r="A43" s="2"/>
      <c r="B43" s="2"/>
      <c r="C43" s="2"/>
      <c r="D43" s="2"/>
      <c r="E43" s="3" t="s">
        <v>49</v>
      </c>
    </row>
    <row r="44" spans="1:5">
      <c r="A44" s="2"/>
      <c r="B44" s="2"/>
      <c r="C44" s="2"/>
      <c r="D44" s="2"/>
      <c r="E44" s="3" t="s">
        <v>50</v>
      </c>
    </row>
    <row r="45" spans="1:5">
      <c r="A45" s="2"/>
      <c r="B45" s="2"/>
      <c r="C45" s="2"/>
      <c r="D45" s="2"/>
      <c r="E45" s="3" t="s">
        <v>51</v>
      </c>
    </row>
    <row r="46" spans="1:5">
      <c r="A46" s="2"/>
      <c r="B46" s="2"/>
      <c r="C46" s="2"/>
      <c r="D46" s="2"/>
      <c r="E46" s="3" t="s">
        <v>52</v>
      </c>
    </row>
    <row r="47" spans="1:5">
      <c r="A47" s="2"/>
      <c r="B47" s="2"/>
      <c r="C47" s="2"/>
      <c r="D47" s="2"/>
      <c r="E47" s="3" t="s">
        <v>53</v>
      </c>
    </row>
    <row r="48" spans="1:5">
      <c r="A48" s="2"/>
      <c r="B48" s="2"/>
      <c r="C48" s="2"/>
      <c r="D48" s="2"/>
      <c r="E48" s="3" t="s">
        <v>54</v>
      </c>
    </row>
    <row r="49" spans="1:5">
      <c r="A49" s="2"/>
      <c r="B49" s="2"/>
      <c r="C49" s="2"/>
      <c r="D49" s="2"/>
      <c r="E49" s="3" t="s">
        <v>7</v>
      </c>
    </row>
    <row r="50" spans="1:5">
      <c r="A50" s="2"/>
      <c r="B50" s="2"/>
      <c r="C50" s="2"/>
      <c r="D50" s="2"/>
      <c r="E50" s="3" t="s">
        <v>55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28515625" bestFit="1" customWidth="1"/>
    <col min="2" max="7" width="15.7109375" customWidth="1"/>
  </cols>
  <sheetData>
    <row r="1" spans="1:7" ht="22.5" customHeight="1">
      <c r="A1" s="25" t="s">
        <v>139</v>
      </c>
      <c r="B1" s="21"/>
    </row>
    <row r="2" spans="1:7" ht="22.5" customHeight="1">
      <c r="A2" s="28" t="s">
        <v>152</v>
      </c>
      <c r="B2" s="22" t="s">
        <v>141</v>
      </c>
      <c r="C2" s="32" t="s">
        <v>107</v>
      </c>
      <c r="D2" s="32" t="s">
        <v>111</v>
      </c>
      <c r="E2" s="32" t="s">
        <v>113</v>
      </c>
      <c r="F2" s="32" t="s">
        <v>114</v>
      </c>
      <c r="G2" s="32" t="s">
        <v>116</v>
      </c>
    </row>
    <row r="3" spans="1:7" ht="22.5" customHeight="1">
      <c r="A3" s="5" t="s">
        <v>125</v>
      </c>
      <c r="B3" s="6">
        <f>'Scoreboard Total'!B3</f>
        <v>190</v>
      </c>
      <c r="C3" s="6">
        <f>COUNTIF('Sales Log'!$W$14:$W$212,30)</f>
        <v>128</v>
      </c>
      <c r="D3" s="6">
        <f>COUNTIF('Sales Log'!$W$14:$W$212,45)</f>
        <v>15</v>
      </c>
      <c r="E3" s="6">
        <f>COUNTIF('Sales Log'!$W$14:$W$212,60)</f>
        <v>28</v>
      </c>
      <c r="F3" s="6">
        <f>COUNTIF('Sales Log'!$W$14:$W$212,90)</f>
        <v>17</v>
      </c>
      <c r="G3" s="6">
        <f>COUNTIF('Sales Log'!$W$14:$W$212,91)</f>
        <v>2</v>
      </c>
    </row>
    <row r="4" spans="1:7" ht="22.5" customHeight="1">
      <c r="A4" s="5" t="s">
        <v>149</v>
      </c>
      <c r="B4" s="9">
        <f>B3/'Sales Log'!$D$213</f>
        <v>1</v>
      </c>
      <c r="C4" s="9">
        <f>C3/'Sales Log'!$D$213</f>
        <v>0.67368421052631577</v>
      </c>
      <c r="D4" s="9">
        <f>D3/'Sales Log'!$D$213</f>
        <v>7.8947368421052627E-2</v>
      </c>
      <c r="E4" s="9">
        <f>E3/'Sales Log'!$D$213</f>
        <v>0.14736842105263157</v>
      </c>
      <c r="F4" s="9">
        <f>F3/'Sales Log'!$D$213</f>
        <v>8.9473684210526316E-2</v>
      </c>
      <c r="G4" s="9">
        <f>G3/'Sales Log'!$D$213</f>
        <v>1.0526315789473684E-2</v>
      </c>
    </row>
    <row r="5" spans="1:7" ht="22.5" customHeight="1">
      <c r="A5" s="5" t="s">
        <v>142</v>
      </c>
      <c r="B5" s="14">
        <f>COUNTIFS('Sales Log'!$I$14:$I$212,"No")/B3</f>
        <v>0.66842105263157892</v>
      </c>
      <c r="C5" s="14">
        <f>COUNTIFS('Sales Log'!$I$14:$I$212,"No",'Sales Log'!$W$14:$W$212,30)/C3</f>
        <v>0.71875</v>
      </c>
      <c r="D5" s="14">
        <f>COUNTIFS('Sales Log'!$I$14:$I$212,"No",'Sales Log'!$W$14:$W$212,45)/D3</f>
        <v>0.4</v>
      </c>
      <c r="E5" s="14">
        <f>COUNTIFS('Sales Log'!$I$14:$I$212,"No",'Sales Log'!$W$14:$W$212,60)/E3</f>
        <v>0.5357142857142857</v>
      </c>
      <c r="F5" s="14">
        <f>COUNTIFS('Sales Log'!$I$14:$I$212,"No",'Sales Log'!$W$14:$W$212,90)/F3</f>
        <v>0.70588235294117652</v>
      </c>
      <c r="G5" s="14">
        <f>COUNTIFS('Sales Log'!$I$14:$I$212,"No",'Sales Log'!$W$14:$W$212,91)/G3</f>
        <v>1</v>
      </c>
    </row>
    <row r="6" spans="1:7" s="4" customFormat="1" ht="21.75" customHeight="1">
      <c r="A6" s="11" t="s">
        <v>126</v>
      </c>
      <c r="B6" s="7">
        <f>'Sales Log'!$F$213</f>
        <v>26.7</v>
      </c>
      <c r="C6" s="24">
        <f>AVERAGEIF('Sales Log'!$W$14:$W$212,30,'Sales Log'!$F$14:$F$212)</f>
        <v>12.4921875</v>
      </c>
      <c r="D6" s="24">
        <f>AVERAGEIF('Sales Log'!$W$14:$W$212,45,'Sales Log'!$F$14:$F$212)</f>
        <v>36.866666666666667</v>
      </c>
      <c r="E6" s="24">
        <f>AVERAGEIF('Sales Log'!$W$14:$W$212,60,'Sales Log'!$F$14:$F$212)</f>
        <v>52.678571428571431</v>
      </c>
      <c r="F6" s="24">
        <f>AVERAGEIF('Sales Log'!$W$14:$W$212,90,'Sales Log'!$F$14:$F$212)</f>
        <v>73.588235294117652</v>
      </c>
      <c r="G6" s="24">
        <f>AVERAGEIF('Sales Log'!$W$14:$W$212,91,'Sales Log'!$F$14:$F$212)</f>
        <v>97.5</v>
      </c>
    </row>
    <row r="7" spans="1:7" ht="22.5" customHeight="1">
      <c r="A7" s="5" t="s">
        <v>128</v>
      </c>
      <c r="B7" s="8">
        <f>'Sales Log'!$K$213</f>
        <v>27871.358526315784</v>
      </c>
      <c r="C7" s="8">
        <f>AVERAGEIF('Sales Log'!$W$14:$W$212,30,'Sales Log'!$K$14:$K$212)</f>
        <v>24995.621328125006</v>
      </c>
      <c r="D7" s="8">
        <f>AVERAGEIF('Sales Log'!$W$14:$W$212,45,'Sales Log'!$K$14:$K$212)</f>
        <v>34213.16066666667</v>
      </c>
      <c r="E7" s="8">
        <f>AVERAGEIF('Sales Log'!$W$14:$W$212,60,'Sales Log'!$K$14:$K$212)</f>
        <v>32111.617857142857</v>
      </c>
      <c r="F7" s="8">
        <f>AVERAGEIF('Sales Log'!$W$14:$W$212,90,'Sales Log'!$K$14:$K$212)</f>
        <v>35835.345882352944</v>
      </c>
      <c r="G7" s="8">
        <f>AVERAGEIF('Sales Log'!$W$14:$W$212,91,'Sales Log'!$K$14:$K$212)</f>
        <v>37297.5</v>
      </c>
    </row>
    <row r="8" spans="1:7" ht="22.5" customHeight="1">
      <c r="A8" s="5" t="s">
        <v>150</v>
      </c>
      <c r="B8" s="9">
        <f>'Sales Log'!$N$213</f>
        <v>0.99640807103142714</v>
      </c>
      <c r="C8" s="14">
        <f>AVERAGEIF('Sales Log'!$W$14:$W$212,30,'Sales Log'!$N14:$N$212)</f>
        <v>0.99932315343051559</v>
      </c>
      <c r="D8" s="14">
        <f>AVERAGEIF('Sales Log'!$W$14:$W$212,45,'Sales Log'!$N14:$N$212)</f>
        <v>0.98464329184710786</v>
      </c>
      <c r="E8" s="14">
        <f>AVERAGEIF('Sales Log'!$W$14:$W$212,60,'Sales Log'!$N14:$N$212)</f>
        <v>0.9933917825364611</v>
      </c>
      <c r="F8" s="14">
        <f>AVERAGEIF('Sales Log'!$W$14:$W$212,90,'Sales Log'!$N14:$N$212)</f>
        <v>0.98684974491745736</v>
      </c>
      <c r="G8" s="14">
        <f>AVERAGEIF('Sales Log'!$W$14:$W$212,91,'Sales Log'!$N14:$N$212)</f>
        <v>0.99</v>
      </c>
    </row>
    <row r="9" spans="1:7" ht="22.5" customHeight="1">
      <c r="A9" s="5" t="s">
        <v>132</v>
      </c>
      <c r="B9" s="8">
        <f>'Sales Log'!$O$213</f>
        <v>72.501000000000005</v>
      </c>
      <c r="C9" s="8">
        <f>AVERAGEIF('Sales Log'!$W$14:$W$212,30,'Sales Log'!$O$14:$O$212)</f>
        <v>68.528750000000002</v>
      </c>
      <c r="D9" s="8">
        <f>AVERAGEIF('Sales Log'!$W$14:$W$212,45,'Sales Log'!$O$14:$O$212)</f>
        <v>153</v>
      </c>
      <c r="E9" s="8">
        <f>AVERAGEIF('Sales Log'!$W$14:$W$212,60,'Sales Log'!$O$14:$O$212)</f>
        <v>32.696785714285724</v>
      </c>
      <c r="F9" s="8">
        <f>AVERAGEIF('Sales Log'!$W$14:$W$212,90,'Sales Log'!$O$14:$O$212)</f>
        <v>105.47058823529412</v>
      </c>
      <c r="G9" s="8">
        <f>AVERAGEIF('Sales Log'!$W$14:$W$212,91,'Sales Log'!$O$14:$O$212)</f>
        <v>0</v>
      </c>
    </row>
    <row r="10" spans="1:7" ht="22.5" customHeight="1">
      <c r="A10" s="5" t="s">
        <v>151</v>
      </c>
      <c r="B10" s="8">
        <f>'Sales Log'!$P$213</f>
        <v>3386.0526842105269</v>
      </c>
      <c r="C10" s="8">
        <f>AVERAGEIF('Sales Log'!$W$14:$W$212,30,'Sales Log'!$P$14:$P$212)</f>
        <v>3780.4378124999998</v>
      </c>
      <c r="D10" s="8">
        <f>AVERAGEIF('Sales Log'!$W$14:$W$212,45,'Sales Log'!$P$14:$P$212)</f>
        <v>3405.860666666666</v>
      </c>
      <c r="E10" s="8">
        <f>AVERAGEIF('Sales Log'!$W$14:$W$212,60,'Sales Log'!$P$14:$P$212)</f>
        <v>2264.4550000000004</v>
      </c>
      <c r="F10" s="8">
        <f>AVERAGEIF('Sales Log'!$W$14:$W$212,90,'Sales Log'!$P$14:$P$212)</f>
        <v>2383.851764705882</v>
      </c>
      <c r="G10" s="8">
        <f>AVERAGEIF('Sales Log'!$W$14:$W$212,91,'Sales Log'!$P$14:$P$212)</f>
        <v>2217.92</v>
      </c>
    </row>
    <row r="11" spans="1:7" ht="22.5" customHeight="1">
      <c r="A11" s="5" t="s">
        <v>134</v>
      </c>
      <c r="B11" s="8">
        <f>'Sales Log'!$Q$213</f>
        <v>2496.6004574468079</v>
      </c>
      <c r="C11" s="8">
        <f>AVERAGEIF('Sales Log'!$W$14:$W$212,30,'Sales Log'!$Q$14:$Q$212)</f>
        <v>2453.3292222222212</v>
      </c>
      <c r="D11" s="8">
        <f>AVERAGEIF('Sales Log'!$W$14:$W$212,45,'Sales Log'!$Q$14:$Q$212)</f>
        <v>2062.9586666666664</v>
      </c>
      <c r="E11" s="8">
        <f>AVERAGEIF('Sales Log'!$W$14:$W$212,60,'Sales Log'!$Q$14:$Q$212)</f>
        <v>2639.4065714285716</v>
      </c>
      <c r="F11" s="8">
        <f>AVERAGEIF('Sales Log'!$W$14:$W$212,90,'Sales Log'!$Q$14:$Q$212)</f>
        <v>3106.2135294117652</v>
      </c>
      <c r="G11" s="8">
        <f>AVERAGEIF('Sales Log'!$W$14:$W$212,91,'Sales Log'!$Q$14:$Q$212)</f>
        <v>1294.0050000000001</v>
      </c>
    </row>
    <row r="12" spans="1:7" ht="22.5" customHeight="1">
      <c r="A12" s="5" t="s">
        <v>135</v>
      </c>
      <c r="B12" s="8">
        <f>'Sales Log'!$R$213</f>
        <v>5856.3731368421086</v>
      </c>
      <c r="C12" s="8">
        <f>C10+C11</f>
        <v>6233.7670347222211</v>
      </c>
      <c r="D12" s="8">
        <f t="shared" ref="D12:G12" si="0">D10+D11</f>
        <v>5468.8193333333329</v>
      </c>
      <c r="E12" s="8">
        <f t="shared" si="0"/>
        <v>4903.8615714285716</v>
      </c>
      <c r="F12" s="8">
        <f t="shared" si="0"/>
        <v>5490.0652941176468</v>
      </c>
      <c r="G12" s="8">
        <f t="shared" si="0"/>
        <v>3511.9250000000002</v>
      </c>
    </row>
    <row r="13" spans="1:7" ht="21.75" customHeight="1">
      <c r="A13" s="5" t="s">
        <v>136</v>
      </c>
      <c r="B13" s="10">
        <f>B12*B3</f>
        <v>1112710.8960000006</v>
      </c>
      <c r="C13" s="10">
        <f>C12*C3</f>
        <v>797922.1804444443</v>
      </c>
      <c r="D13" s="10">
        <f t="shared" ref="D13:G13" si="1">D12*D3</f>
        <v>82032.289999999994</v>
      </c>
      <c r="E13" s="10">
        <f t="shared" si="1"/>
        <v>137308.12400000001</v>
      </c>
      <c r="F13" s="10">
        <f t="shared" si="1"/>
        <v>93331.11</v>
      </c>
      <c r="G13" s="10">
        <f t="shared" si="1"/>
        <v>7023.85</v>
      </c>
    </row>
    <row r="14" spans="1:7" ht="21.75" customHeight="1">
      <c r="A14" s="5" t="s">
        <v>90</v>
      </c>
      <c r="B14" s="9">
        <f>(B12/(B7)*(360/B6))</f>
        <v>2.8330995905627123</v>
      </c>
      <c r="C14" s="9">
        <f>(C12/(C7)*(360/C6))</f>
        <v>7.1870495324805903</v>
      </c>
      <c r="D14" s="9">
        <f t="shared" ref="D14:G14" si="2">(D12/(D7)*(360/D6))</f>
        <v>1.5608781745956759</v>
      </c>
      <c r="E14" s="9">
        <f t="shared" si="2"/>
        <v>1.0436251275300183</v>
      </c>
      <c r="F14" s="9">
        <f t="shared" si="2"/>
        <v>0.74947995393902633</v>
      </c>
      <c r="G14" s="9">
        <f t="shared" si="2"/>
        <v>0.34766693993719938</v>
      </c>
    </row>
    <row r="15" spans="1:7" ht="21.75" customHeight="1">
      <c r="A15" s="5" t="s">
        <v>137</v>
      </c>
      <c r="B15" s="9">
        <f>'Sales Log'!AA213/'Scoreboard Total'!B3</f>
        <v>0.58421052631578951</v>
      </c>
      <c r="C15" s="9">
        <f>COUNTIFS('Sales Log'!$W$14:$W$212,30,'Sales Log'!$AA$14:$AA$212,"Yes")/C$3</f>
        <v>0.5703125</v>
      </c>
      <c r="D15" s="9">
        <f>COUNTIFS('Sales Log'!$W$14:$W$212,45,'Sales Log'!$AA$14:$AA$212,"Yes")/D$3</f>
        <v>0.6</v>
      </c>
      <c r="E15" s="9">
        <f>COUNTIFS('Sales Log'!$W$14:$W$212,60,'Sales Log'!$AA$14:$AA$212,"Yes")/E$3</f>
        <v>0.5714285714285714</v>
      </c>
      <c r="F15" s="9">
        <f>COUNTIFS('Sales Log'!$W$14:$W$212,90,'Sales Log'!$AA$14:$AA$212,"Yes")/F$3</f>
        <v>0.70588235294117652</v>
      </c>
      <c r="G15" s="9">
        <f>COUNTIFS('Sales Log'!$W$14:$W$212,91,'Sales Log'!$AA$14:$AA$212,"Yes")/G$3</f>
        <v>0.5</v>
      </c>
    </row>
    <row r="16" spans="1:7" ht="21.75" customHeight="1">
      <c r="A16" s="5" t="s">
        <v>138</v>
      </c>
      <c r="B16" s="114">
        <f>'Sales Log'!$AB$213</f>
        <v>675.559732142857</v>
      </c>
      <c r="C16" s="114">
        <f>AVERAGEIF('Sales Log'!$W$14:$W$212,30,'Sales Log'!$AB$14:$AB$212)</f>
        <v>617.72736111111101</v>
      </c>
      <c r="D16" s="114">
        <f>AVERAGEIF('Sales Log'!$W$14:$W$212,45,'Sales Log'!$AB$14:$AB$212)</f>
        <v>589.57555555555564</v>
      </c>
      <c r="E16" s="114">
        <f>AVERAGEIF('Sales Log'!$W$14:$W$212,60,'Sales Log'!$AB$14:$AB$212)</f>
        <v>781.18470588235289</v>
      </c>
      <c r="F16" s="114">
        <f>AVERAGEIF('Sales Log'!$W$14:$W$212,90,'Sales Log'!$AB$14:$AB$212)</f>
        <v>969.23076923076928</v>
      </c>
      <c r="G16" s="114">
        <f>AVERAGEIF('Sales Log'!$W$14:$W$212,91,'Sales Log'!$AB$14:$AB$212)</f>
        <v>0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021"/>
  <sheetViews>
    <sheetView tabSelected="1" zoomScale="82" zoomScaleNormal="82" workbookViewId="0">
      <pane ySplit="13" topLeftCell="A191" activePane="bottomLeft" state="frozen"/>
      <selection pane="bottomLeft" activeCell="L161" sqref="L161"/>
    </sheetView>
  </sheetViews>
  <sheetFormatPr defaultColWidth="9.140625" defaultRowHeight="15.75"/>
  <cols>
    <col min="1" max="1" width="4.85546875" style="109" customWidth="1"/>
    <col min="2" max="2" width="13.42578125" style="109" bestFit="1" customWidth="1"/>
    <col min="3" max="3" width="6.28515625" style="110" bestFit="1" customWidth="1"/>
    <col min="4" max="4" width="13.7109375" style="110" bestFit="1" customWidth="1"/>
    <col min="5" max="5" width="17" style="110" bestFit="1" customWidth="1"/>
    <col min="6" max="6" width="7.140625" style="110" bestFit="1" customWidth="1"/>
    <col min="7" max="7" width="18.85546875" style="109" bestFit="1" customWidth="1"/>
    <col min="8" max="8" width="4.140625" style="111" bestFit="1" customWidth="1"/>
    <col min="9" max="9" width="11" style="111" hidden="1" customWidth="1"/>
    <col min="10" max="10" width="15.5703125" style="51" bestFit="1" customWidth="1"/>
    <col min="11" max="11" width="11.85546875" style="51" bestFit="1" customWidth="1"/>
    <col min="12" max="12" width="15.42578125" style="51" customWidth="1"/>
    <col min="13" max="13" width="12.5703125" style="51" hidden="1" customWidth="1"/>
    <col min="14" max="14" width="13.140625" style="51" hidden="1" customWidth="1"/>
    <col min="15" max="15" width="13.42578125" style="51" hidden="1" customWidth="1"/>
    <col min="16" max="16" width="10.42578125" style="112" bestFit="1" customWidth="1"/>
    <col min="17" max="17" width="9.7109375" style="112" bestFit="1" customWidth="1"/>
    <col min="18" max="18" width="9.140625" style="51" hidden="1" customWidth="1"/>
    <col min="19" max="19" width="7.85546875" style="51" hidden="1" customWidth="1"/>
    <col min="20" max="20" width="18.7109375" style="51" bestFit="1" customWidth="1"/>
    <col min="21" max="21" width="18.28515625" style="51" bestFit="1" customWidth="1"/>
    <col min="22" max="22" width="16.5703125" style="51" bestFit="1" customWidth="1"/>
    <col min="23" max="23" width="12.140625" style="51" hidden="1" customWidth="1"/>
    <col min="24" max="24" width="18.85546875" style="51" hidden="1" customWidth="1"/>
    <col min="25" max="25" width="7.140625" style="51" hidden="1" customWidth="1"/>
    <col min="26" max="26" width="10.140625" style="51" hidden="1" customWidth="1"/>
    <col min="27" max="27" width="6" style="51" bestFit="1" customWidth="1"/>
    <col min="28" max="28" width="10.140625" style="51" customWidth="1"/>
    <col min="29" max="16384" width="9.140625" style="51"/>
  </cols>
  <sheetData>
    <row r="1" spans="1:28" ht="21">
      <c r="A1" s="46" t="s">
        <v>56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5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31" t="s">
        <v>57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3"/>
    </row>
    <row r="4" spans="1:28" ht="19.5" customHeight="1">
      <c r="A4" s="52" t="s">
        <v>58</v>
      </c>
      <c r="B4" s="134" t="s">
        <v>59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5"/>
    </row>
    <row r="5" spans="1:28" ht="19.5" customHeight="1">
      <c r="A5" s="52" t="s">
        <v>60</v>
      </c>
      <c r="B5" s="134" t="s">
        <v>61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5"/>
    </row>
    <row r="6" spans="1:28" ht="19.5" customHeight="1">
      <c r="A6" s="52" t="s">
        <v>62</v>
      </c>
      <c r="B6" s="134" t="s">
        <v>63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5"/>
    </row>
    <row r="7" spans="1:28" ht="19.5" customHeight="1">
      <c r="A7" s="52" t="s">
        <v>64</v>
      </c>
      <c r="B7" s="134" t="s">
        <v>65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5"/>
    </row>
    <row r="8" spans="1:28" ht="19.5" customHeight="1">
      <c r="A8" s="52" t="s">
        <v>66</v>
      </c>
      <c r="B8" s="134" t="s">
        <v>67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5"/>
    </row>
    <row r="9" spans="1:28" ht="19.5" customHeight="1">
      <c r="A9" s="53" t="s">
        <v>68</v>
      </c>
      <c r="B9" s="136" t="s">
        <v>69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7"/>
    </row>
    <row r="10" spans="1:28" ht="19.5" customHeight="1">
      <c r="A10" s="53" t="s">
        <v>70</v>
      </c>
      <c r="B10" s="136" t="s">
        <v>71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7"/>
    </row>
    <row r="11" spans="1:28" ht="15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94.5">
      <c r="A12" s="56" t="s">
        <v>72</v>
      </c>
      <c r="B12" s="56" t="s">
        <v>73</v>
      </c>
      <c r="C12" s="57" t="s">
        <v>74</v>
      </c>
      <c r="D12" s="57" t="s">
        <v>75</v>
      </c>
      <c r="E12" s="57" t="s">
        <v>76</v>
      </c>
      <c r="F12" s="57" t="s">
        <v>77</v>
      </c>
      <c r="G12" s="56" t="s">
        <v>78</v>
      </c>
      <c r="H12" s="56" t="s">
        <v>79</v>
      </c>
      <c r="I12" s="56" t="s">
        <v>80</v>
      </c>
      <c r="J12" s="58" t="s">
        <v>81</v>
      </c>
      <c r="K12" s="58" t="s">
        <v>82</v>
      </c>
      <c r="L12" s="58" t="s">
        <v>83</v>
      </c>
      <c r="M12" s="58" t="s">
        <v>84</v>
      </c>
      <c r="N12" s="58" t="s">
        <v>85</v>
      </c>
      <c r="O12" s="58" t="s">
        <v>86</v>
      </c>
      <c r="P12" s="58" t="s">
        <v>87</v>
      </c>
      <c r="Q12" s="58" t="s">
        <v>88</v>
      </c>
      <c r="R12" s="58" t="s">
        <v>89</v>
      </c>
      <c r="S12" s="58" t="s">
        <v>90</v>
      </c>
      <c r="T12" s="58" t="s">
        <v>91</v>
      </c>
      <c r="U12" s="58" t="s">
        <v>92</v>
      </c>
      <c r="V12" s="58" t="s">
        <v>93</v>
      </c>
      <c r="W12" s="59" t="s">
        <v>94</v>
      </c>
      <c r="X12" s="59" t="s">
        <v>95</v>
      </c>
      <c r="Y12" s="59" t="s">
        <v>96</v>
      </c>
      <c r="Z12" s="59" t="s">
        <v>97</v>
      </c>
      <c r="AA12" s="56" t="s">
        <v>98</v>
      </c>
      <c r="AB12" s="56" t="s">
        <v>99</v>
      </c>
    </row>
    <row r="13" spans="1:28" ht="15">
      <c r="A13" s="61" t="s">
        <v>100</v>
      </c>
      <c r="B13" s="61" t="s">
        <v>101</v>
      </c>
      <c r="C13" s="62">
        <v>2015</v>
      </c>
      <c r="D13" s="62" t="s">
        <v>17</v>
      </c>
      <c r="E13" s="62" t="s">
        <v>102</v>
      </c>
      <c r="F13" s="62">
        <v>30</v>
      </c>
      <c r="G13" s="62" t="s">
        <v>103</v>
      </c>
      <c r="H13" s="62" t="s">
        <v>104</v>
      </c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Yes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5" si="0">IF(K13=0,"BLANK",(J13-K13))</f>
        <v>1200</v>
      </c>
      <c r="P13" s="68">
        <v>1500</v>
      </c>
      <c r="Q13" s="69">
        <v>500</v>
      </c>
      <c r="R13" s="70">
        <f t="shared" ref="R13:R75" si="1">IF(K13=0,"BLANK",SUM(P13:Q13))</f>
        <v>2000</v>
      </c>
      <c r="S13" s="71">
        <f>(R13/(K13-P13))*(360/F13)</f>
        <v>1.9512195121951219</v>
      </c>
      <c r="T13" s="72" t="s">
        <v>105</v>
      </c>
      <c r="U13" s="72" t="s">
        <v>106</v>
      </c>
      <c r="V13" s="72" t="s">
        <v>6</v>
      </c>
      <c r="W13" s="73">
        <f t="shared" ref="W13:W43" si="2">IF(AND(F13&gt;0,F13&lt;=30),30,IF(AND(F13&gt;=31,F13&lt;=45),45,IF(AND(F13&gt;=46,F13&lt;=60),60,IF(AND(F13&gt;=61,F13&lt;=90),90,IF(F13&gt;=91,91,0)))))</f>
        <v>30</v>
      </c>
      <c r="X13" s="74" t="s">
        <v>103</v>
      </c>
      <c r="Y13" s="74" t="s">
        <v>104</v>
      </c>
      <c r="Z13" s="74" t="s">
        <v>107</v>
      </c>
      <c r="AA13" s="62" t="s">
        <v>108</v>
      </c>
      <c r="AB13" s="68">
        <v>2000</v>
      </c>
    </row>
    <row r="14" spans="1:28" ht="15">
      <c r="A14" s="15">
        <v>1</v>
      </c>
      <c r="B14" s="15" t="s">
        <v>157</v>
      </c>
      <c r="C14" s="16">
        <v>2016</v>
      </c>
      <c r="D14" s="75" t="s">
        <v>29</v>
      </c>
      <c r="E14" s="16" t="s">
        <v>158</v>
      </c>
      <c r="F14" s="17">
        <v>8</v>
      </c>
      <c r="G14" s="75" t="s">
        <v>120</v>
      </c>
      <c r="H14" s="75" t="s">
        <v>104</v>
      </c>
      <c r="I14" s="76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No</v>
      </c>
      <c r="J14" s="37">
        <v>27000</v>
      </c>
      <c r="K14" s="37">
        <v>27000</v>
      </c>
      <c r="L14" s="77">
        <v>1.0900000000000001</v>
      </c>
      <c r="M14" s="78">
        <f t="shared" ref="M14:M15" si="3">J14/L14</f>
        <v>24770.64220183486</v>
      </c>
      <c r="N14" s="79">
        <f t="shared" ref="N14:N15" si="4">K14/M14</f>
        <v>1.0900000000000001</v>
      </c>
      <c r="O14" s="80">
        <f t="shared" ref="O14:O15" si="5">IF(K14=0,"BLANK",(J14-K14))</f>
        <v>0</v>
      </c>
      <c r="P14" s="19">
        <v>6939</v>
      </c>
      <c r="Q14" s="19">
        <v>2160.04</v>
      </c>
      <c r="R14" s="81">
        <f t="shared" ref="R14:R15" si="6">IF(K14=0,"BLANK",SUM(P14:Q14))</f>
        <v>9099.0400000000009</v>
      </c>
      <c r="S14" s="82">
        <f t="shared" ref="S14:S15" si="7">(R14/(K14-P14))*(360/F14)</f>
        <v>20.410587707492152</v>
      </c>
      <c r="T14" s="83" t="s">
        <v>161</v>
      </c>
      <c r="U14" s="83" t="s">
        <v>159</v>
      </c>
      <c r="V14" s="83" t="s">
        <v>160</v>
      </c>
      <c r="W14" s="113">
        <f t="shared" si="2"/>
        <v>30</v>
      </c>
      <c r="X14" s="74" t="s">
        <v>110</v>
      </c>
      <c r="Y14" s="74" t="s">
        <v>108</v>
      </c>
      <c r="Z14" s="74" t="s">
        <v>111</v>
      </c>
      <c r="AA14" s="75" t="s">
        <v>108</v>
      </c>
      <c r="AB14" s="44">
        <v>500</v>
      </c>
    </row>
    <row r="15" spans="1:28" ht="15">
      <c r="A15" s="15">
        <f t="shared" ref="A15:A77" si="8">A14+1</f>
        <v>2</v>
      </c>
      <c r="B15" s="15" t="s">
        <v>167</v>
      </c>
      <c r="C15" s="16">
        <v>2017</v>
      </c>
      <c r="D15" s="75" t="s">
        <v>29</v>
      </c>
      <c r="E15" s="16" t="s">
        <v>168</v>
      </c>
      <c r="F15" s="17">
        <v>8</v>
      </c>
      <c r="G15" s="75" t="s">
        <v>110</v>
      </c>
      <c r="H15" s="75" t="s">
        <v>104</v>
      </c>
      <c r="I15" s="76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No</v>
      </c>
      <c r="J15" s="37">
        <v>23038</v>
      </c>
      <c r="K15" s="37">
        <v>23038</v>
      </c>
      <c r="L15" s="35">
        <v>1.02</v>
      </c>
      <c r="M15" s="78">
        <f t="shared" si="3"/>
        <v>22586.274509803919</v>
      </c>
      <c r="N15" s="79">
        <f t="shared" si="4"/>
        <v>1.02</v>
      </c>
      <c r="O15" s="80">
        <f t="shared" si="5"/>
        <v>0</v>
      </c>
      <c r="P15" s="19">
        <v>2778</v>
      </c>
      <c r="Q15" s="19">
        <v>1678.5</v>
      </c>
      <c r="R15" s="81">
        <f t="shared" si="6"/>
        <v>4456.5</v>
      </c>
      <c r="S15" s="82">
        <f t="shared" si="7"/>
        <v>9.898445212240869</v>
      </c>
      <c r="T15" s="83" t="s">
        <v>163</v>
      </c>
      <c r="U15" s="83" t="s">
        <v>166</v>
      </c>
      <c r="V15" s="83" t="s">
        <v>160</v>
      </c>
      <c r="W15" s="113">
        <f t="shared" si="2"/>
        <v>30</v>
      </c>
      <c r="X15" s="74" t="s">
        <v>112</v>
      </c>
      <c r="Z15" s="74" t="s">
        <v>113</v>
      </c>
      <c r="AA15" s="75" t="s">
        <v>104</v>
      </c>
      <c r="AB15" s="44"/>
    </row>
    <row r="16" spans="1:28" ht="15">
      <c r="A16" s="15">
        <f t="shared" si="8"/>
        <v>3</v>
      </c>
      <c r="B16" s="15" t="s">
        <v>169</v>
      </c>
      <c r="C16" s="16">
        <v>2016</v>
      </c>
      <c r="D16" s="75" t="s">
        <v>21</v>
      </c>
      <c r="E16" s="16" t="s">
        <v>156</v>
      </c>
      <c r="F16" s="17">
        <v>87</v>
      </c>
      <c r="G16" s="75" t="s">
        <v>109</v>
      </c>
      <c r="H16" s="75" t="s">
        <v>104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No</v>
      </c>
      <c r="J16" s="37">
        <v>26141</v>
      </c>
      <c r="K16" s="37">
        <v>26141</v>
      </c>
      <c r="L16" s="35">
        <v>1.02</v>
      </c>
      <c r="M16" s="78">
        <f t="shared" ref="M16:M77" si="9">J16/L16</f>
        <v>25628.431372549017</v>
      </c>
      <c r="N16" s="79">
        <f t="shared" ref="N16:N77" si="10">K16/M16</f>
        <v>1.02</v>
      </c>
      <c r="O16" s="80">
        <f t="shared" si="0"/>
        <v>0</v>
      </c>
      <c r="P16" s="19">
        <v>850.19</v>
      </c>
      <c r="Q16" s="19">
        <v>4558.32</v>
      </c>
      <c r="R16" s="81">
        <f t="shared" si="1"/>
        <v>5408.51</v>
      </c>
      <c r="S16" s="82">
        <f t="shared" ref="S16:S77" si="11">(R16/(K16-P16))*(360/F16)</f>
        <v>0.8849080507627215</v>
      </c>
      <c r="T16" s="83" t="s">
        <v>170</v>
      </c>
      <c r="U16" s="83" t="s">
        <v>166</v>
      </c>
      <c r="V16" s="83" t="s">
        <v>160</v>
      </c>
      <c r="W16" s="113">
        <f t="shared" si="2"/>
        <v>90</v>
      </c>
      <c r="X16" s="74" t="s">
        <v>109</v>
      </c>
      <c r="Z16" s="74" t="s">
        <v>114</v>
      </c>
      <c r="AA16" s="75" t="s">
        <v>104</v>
      </c>
      <c r="AB16" s="44"/>
    </row>
    <row r="17" spans="1:28" ht="15">
      <c r="A17" s="15">
        <f t="shared" si="8"/>
        <v>4</v>
      </c>
      <c r="B17" s="15" t="s">
        <v>171</v>
      </c>
      <c r="C17" s="16">
        <v>2014</v>
      </c>
      <c r="D17" s="75" t="s">
        <v>24</v>
      </c>
      <c r="E17" s="16" t="s">
        <v>172</v>
      </c>
      <c r="F17" s="17">
        <v>4</v>
      </c>
      <c r="G17" s="75" t="s">
        <v>112</v>
      </c>
      <c r="H17" s="75" t="s">
        <v>104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No</v>
      </c>
      <c r="J17" s="37">
        <v>17784</v>
      </c>
      <c r="K17" s="37">
        <v>16564.72</v>
      </c>
      <c r="L17" s="35">
        <v>0.97</v>
      </c>
      <c r="M17" s="78">
        <f t="shared" si="9"/>
        <v>18334.0206185567</v>
      </c>
      <c r="N17" s="79">
        <f t="shared" si="10"/>
        <v>0.90349631129104824</v>
      </c>
      <c r="O17" s="80">
        <f t="shared" si="0"/>
        <v>1219.2799999999988</v>
      </c>
      <c r="P17" s="19">
        <v>5787.85</v>
      </c>
      <c r="Q17" s="19">
        <v>1287</v>
      </c>
      <c r="R17" s="81">
        <f t="shared" si="1"/>
        <v>7074.85</v>
      </c>
      <c r="S17" s="82">
        <f t="shared" si="11"/>
        <v>59.083620754449107</v>
      </c>
      <c r="T17" s="83" t="s">
        <v>163</v>
      </c>
      <c r="U17" s="83" t="s">
        <v>159</v>
      </c>
      <c r="V17" s="83" t="s">
        <v>160</v>
      </c>
      <c r="W17" s="113">
        <f t="shared" si="2"/>
        <v>30</v>
      </c>
      <c r="X17" s="74" t="s">
        <v>115</v>
      </c>
      <c r="Z17" s="74" t="s">
        <v>116</v>
      </c>
      <c r="AA17" s="75" t="s">
        <v>104</v>
      </c>
      <c r="AB17" s="44"/>
    </row>
    <row r="18" spans="1:28" ht="15">
      <c r="A18" s="15">
        <f t="shared" si="8"/>
        <v>5</v>
      </c>
      <c r="B18" s="15" t="s">
        <v>173</v>
      </c>
      <c r="C18" s="16">
        <v>2020</v>
      </c>
      <c r="D18" s="75" t="s">
        <v>17</v>
      </c>
      <c r="E18" s="16" t="s">
        <v>174</v>
      </c>
      <c r="F18" s="17">
        <v>12</v>
      </c>
      <c r="G18" s="75" t="s">
        <v>109</v>
      </c>
      <c r="H18" s="75" t="s">
        <v>104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Yes</v>
      </c>
      <c r="J18" s="37">
        <v>23000</v>
      </c>
      <c r="K18" s="37">
        <v>23000</v>
      </c>
      <c r="L18" s="35">
        <v>1</v>
      </c>
      <c r="M18" s="78">
        <f t="shared" si="9"/>
        <v>23000</v>
      </c>
      <c r="N18" s="79">
        <f t="shared" si="10"/>
        <v>1</v>
      </c>
      <c r="O18" s="80">
        <f t="shared" si="0"/>
        <v>0</v>
      </c>
      <c r="P18" s="19">
        <v>1326.11</v>
      </c>
      <c r="Q18" s="19">
        <v>0</v>
      </c>
      <c r="R18" s="81">
        <f t="shared" si="1"/>
        <v>1326.11</v>
      </c>
      <c r="S18" s="82">
        <f t="shared" si="11"/>
        <v>1.8355403667731081</v>
      </c>
      <c r="T18" s="83" t="s">
        <v>175</v>
      </c>
      <c r="U18" s="83" t="s">
        <v>166</v>
      </c>
      <c r="V18" s="83" t="s">
        <v>160</v>
      </c>
      <c r="W18" s="113">
        <f t="shared" si="2"/>
        <v>30</v>
      </c>
      <c r="X18" s="74" t="s">
        <v>117</v>
      </c>
      <c r="AA18" s="75" t="s">
        <v>104</v>
      </c>
      <c r="AB18" s="44"/>
    </row>
    <row r="19" spans="1:28" ht="15">
      <c r="A19" s="15">
        <f t="shared" si="8"/>
        <v>6</v>
      </c>
      <c r="B19" s="15" t="s">
        <v>176</v>
      </c>
      <c r="C19" s="16">
        <v>2019</v>
      </c>
      <c r="D19" s="75" t="s">
        <v>29</v>
      </c>
      <c r="E19" s="16" t="s">
        <v>158</v>
      </c>
      <c r="F19" s="17">
        <v>10</v>
      </c>
      <c r="G19" s="75" t="s">
        <v>120</v>
      </c>
      <c r="H19" s="75" t="s">
        <v>104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No</v>
      </c>
      <c r="J19" s="37">
        <v>43800</v>
      </c>
      <c r="K19" s="37">
        <v>43800</v>
      </c>
      <c r="L19" s="35">
        <v>1.1399999999999999</v>
      </c>
      <c r="M19" s="78">
        <f t="shared" si="9"/>
        <v>38421.052631578954</v>
      </c>
      <c r="N19" s="79">
        <f t="shared" si="10"/>
        <v>1.1399999999999999</v>
      </c>
      <c r="O19" s="80">
        <f t="shared" si="0"/>
        <v>0</v>
      </c>
      <c r="P19" s="19">
        <f>(L6-295.95)+1350</f>
        <v>1054.05</v>
      </c>
      <c r="Q19" s="19">
        <v>6896.35</v>
      </c>
      <c r="R19" s="81">
        <f t="shared" si="1"/>
        <v>7950.4000000000005</v>
      </c>
      <c r="S19" s="82">
        <f t="shared" si="11"/>
        <v>6.6957080144434746</v>
      </c>
      <c r="T19" s="83" t="s">
        <v>163</v>
      </c>
      <c r="U19" s="83" t="s">
        <v>159</v>
      </c>
      <c r="V19" s="83" t="s">
        <v>160</v>
      </c>
      <c r="W19" s="113">
        <f t="shared" si="2"/>
        <v>30</v>
      </c>
      <c r="X19" s="74" t="s">
        <v>118</v>
      </c>
      <c r="AA19" s="75" t="s">
        <v>108</v>
      </c>
      <c r="AB19" s="44">
        <v>-1446.5</v>
      </c>
    </row>
    <row r="20" spans="1:28" ht="15">
      <c r="A20" s="15">
        <f t="shared" si="8"/>
        <v>7</v>
      </c>
      <c r="B20" s="15" t="s">
        <v>177</v>
      </c>
      <c r="C20" s="16">
        <v>2019</v>
      </c>
      <c r="D20" s="75" t="s">
        <v>26</v>
      </c>
      <c r="E20" s="16" t="s">
        <v>178</v>
      </c>
      <c r="F20" s="17">
        <v>27</v>
      </c>
      <c r="G20" s="75" t="s">
        <v>120</v>
      </c>
      <c r="H20" s="75" t="s">
        <v>104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No</v>
      </c>
      <c r="J20" s="37">
        <v>25000</v>
      </c>
      <c r="K20" s="37">
        <v>25000</v>
      </c>
      <c r="L20" s="35">
        <v>1.1100000000000001</v>
      </c>
      <c r="M20" s="78">
        <f t="shared" si="9"/>
        <v>22522.522522522522</v>
      </c>
      <c r="N20" s="79">
        <f t="shared" si="10"/>
        <v>1.1100000000000001</v>
      </c>
      <c r="O20" s="80">
        <f t="shared" si="0"/>
        <v>0</v>
      </c>
      <c r="P20" s="19">
        <v>2108.62</v>
      </c>
      <c r="Q20" s="19">
        <v>3801.58</v>
      </c>
      <c r="R20" s="81">
        <f t="shared" si="1"/>
        <v>5910.2</v>
      </c>
      <c r="S20" s="82">
        <f t="shared" si="11"/>
        <v>3.4424602914575995</v>
      </c>
      <c r="T20" s="83" t="s">
        <v>163</v>
      </c>
      <c r="U20" s="83" t="s">
        <v>166</v>
      </c>
      <c r="V20" s="83" t="s">
        <v>160</v>
      </c>
      <c r="W20" s="113">
        <f t="shared" si="2"/>
        <v>30</v>
      </c>
      <c r="X20" s="74" t="s">
        <v>119</v>
      </c>
      <c r="AA20" s="75" t="s">
        <v>108</v>
      </c>
      <c r="AB20" s="44">
        <v>1500</v>
      </c>
    </row>
    <row r="21" spans="1:28" ht="15">
      <c r="A21" s="15">
        <f t="shared" si="8"/>
        <v>8</v>
      </c>
      <c r="B21" s="15" t="s">
        <v>179</v>
      </c>
      <c r="C21" s="16">
        <v>2021</v>
      </c>
      <c r="D21" s="75" t="s">
        <v>17</v>
      </c>
      <c r="E21" s="16" t="s">
        <v>102</v>
      </c>
      <c r="F21" s="17">
        <v>18</v>
      </c>
      <c r="G21" s="75" t="s">
        <v>110</v>
      </c>
      <c r="H21" s="75" t="s">
        <v>104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Yes</v>
      </c>
      <c r="J21" s="37">
        <v>24975</v>
      </c>
      <c r="K21" s="37">
        <v>24975</v>
      </c>
      <c r="L21" s="35">
        <v>1.08</v>
      </c>
      <c r="M21" s="78">
        <f t="shared" si="9"/>
        <v>23125</v>
      </c>
      <c r="N21" s="79">
        <f t="shared" si="10"/>
        <v>1.08</v>
      </c>
      <c r="O21" s="80">
        <f t="shared" si="0"/>
        <v>0</v>
      </c>
      <c r="P21" s="19">
        <v>3278.1400000000003</v>
      </c>
      <c r="Q21" s="19">
        <v>6640.92</v>
      </c>
      <c r="R21" s="81">
        <f t="shared" si="1"/>
        <v>9919.0600000000013</v>
      </c>
      <c r="S21" s="82">
        <f t="shared" si="11"/>
        <v>9.143313825134145</v>
      </c>
      <c r="T21" s="83" t="s">
        <v>163</v>
      </c>
      <c r="U21" s="83" t="s">
        <v>159</v>
      </c>
      <c r="V21" s="83" t="s">
        <v>160</v>
      </c>
      <c r="W21" s="113">
        <f t="shared" si="2"/>
        <v>30</v>
      </c>
      <c r="X21" s="74" t="s">
        <v>120</v>
      </c>
      <c r="AA21" s="75" t="s">
        <v>108</v>
      </c>
      <c r="AB21" s="44">
        <v>-250</v>
      </c>
    </row>
    <row r="22" spans="1:28" ht="15">
      <c r="A22" s="15">
        <f t="shared" si="8"/>
        <v>9</v>
      </c>
      <c r="B22" s="15" t="s">
        <v>180</v>
      </c>
      <c r="C22" s="16">
        <v>2012</v>
      </c>
      <c r="D22" s="75" t="s">
        <v>47</v>
      </c>
      <c r="E22" s="16">
        <v>1500</v>
      </c>
      <c r="F22" s="17">
        <v>27</v>
      </c>
      <c r="G22" s="75" t="s">
        <v>110</v>
      </c>
      <c r="H22" s="75" t="s">
        <v>104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No</v>
      </c>
      <c r="J22" s="37">
        <v>23497</v>
      </c>
      <c r="K22" s="37">
        <v>23497</v>
      </c>
      <c r="L22" s="35">
        <v>1.1200000000000001</v>
      </c>
      <c r="M22" s="78">
        <f t="shared" si="9"/>
        <v>20979.464285714283</v>
      </c>
      <c r="N22" s="79">
        <f t="shared" si="10"/>
        <v>1.1200000000000001</v>
      </c>
      <c r="O22" s="80">
        <f t="shared" si="0"/>
        <v>0</v>
      </c>
      <c r="P22" s="19">
        <v>2216.66</v>
      </c>
      <c r="Q22" s="19">
        <v>2179.8000000000002</v>
      </c>
      <c r="R22" s="81">
        <f t="shared" si="1"/>
        <v>4396.46</v>
      </c>
      <c r="S22" s="82">
        <f t="shared" si="11"/>
        <v>2.7546301735153982</v>
      </c>
      <c r="T22" s="83" t="s">
        <v>161</v>
      </c>
      <c r="U22" s="83" t="s">
        <v>166</v>
      </c>
      <c r="V22" s="83" t="s">
        <v>160</v>
      </c>
      <c r="W22" s="113">
        <f t="shared" si="2"/>
        <v>30</v>
      </c>
      <c r="AA22" s="75" t="s">
        <v>104</v>
      </c>
      <c r="AB22" s="44"/>
    </row>
    <row r="23" spans="1:28" ht="15">
      <c r="A23" s="15">
        <f t="shared" si="8"/>
        <v>10</v>
      </c>
      <c r="B23" s="15" t="s">
        <v>181</v>
      </c>
      <c r="C23" s="16">
        <v>2019</v>
      </c>
      <c r="D23" s="75" t="s">
        <v>17</v>
      </c>
      <c r="E23" s="16" t="s">
        <v>182</v>
      </c>
      <c r="F23" s="17">
        <v>48</v>
      </c>
      <c r="G23" s="75" t="s">
        <v>103</v>
      </c>
      <c r="H23" s="75" t="s">
        <v>104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37">
        <v>37535</v>
      </c>
      <c r="K23" s="37">
        <v>37535</v>
      </c>
      <c r="L23" s="35">
        <v>0.95</v>
      </c>
      <c r="M23" s="78">
        <f t="shared" si="9"/>
        <v>39510.526315789473</v>
      </c>
      <c r="N23" s="79">
        <f t="shared" si="10"/>
        <v>0.95</v>
      </c>
      <c r="O23" s="80">
        <f t="shared" si="0"/>
        <v>0</v>
      </c>
      <c r="P23" s="19">
        <v>2165.62</v>
      </c>
      <c r="Q23" s="19">
        <v>5044</v>
      </c>
      <c r="R23" s="81">
        <f t="shared" si="1"/>
        <v>7209.62</v>
      </c>
      <c r="S23" s="82">
        <f t="shared" si="11"/>
        <v>1.5287842195707135</v>
      </c>
      <c r="T23" s="83" t="s">
        <v>163</v>
      </c>
      <c r="U23" s="83" t="s">
        <v>166</v>
      </c>
      <c r="V23" s="83" t="s">
        <v>160</v>
      </c>
      <c r="W23" s="113">
        <f t="shared" si="2"/>
        <v>60</v>
      </c>
      <c r="AA23" s="75" t="s">
        <v>104</v>
      </c>
      <c r="AB23" s="44">
        <v>0</v>
      </c>
    </row>
    <row r="24" spans="1:28" ht="15">
      <c r="A24" s="15">
        <f t="shared" si="8"/>
        <v>11</v>
      </c>
      <c r="B24" s="15" t="s">
        <v>183</v>
      </c>
      <c r="C24" s="16">
        <v>2016</v>
      </c>
      <c r="D24" s="75" t="s">
        <v>29</v>
      </c>
      <c r="E24" s="16" t="s">
        <v>184</v>
      </c>
      <c r="F24" s="17">
        <v>49</v>
      </c>
      <c r="G24" s="75" t="s">
        <v>110</v>
      </c>
      <c r="H24" s="75" t="s">
        <v>104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No</v>
      </c>
      <c r="J24" s="37">
        <v>12812</v>
      </c>
      <c r="K24" s="37">
        <v>11896.49</v>
      </c>
      <c r="L24" s="35">
        <v>1.05</v>
      </c>
      <c r="M24" s="78">
        <f t="shared" si="9"/>
        <v>12201.904761904761</v>
      </c>
      <c r="N24" s="79">
        <f t="shared" si="10"/>
        <v>0.9749699110209179</v>
      </c>
      <c r="O24" s="80">
        <f t="shared" si="0"/>
        <v>915.51000000000022</v>
      </c>
      <c r="P24" s="19">
        <v>2610.88</v>
      </c>
      <c r="Q24" s="19">
        <v>4467.82</v>
      </c>
      <c r="R24" s="81">
        <f t="shared" si="1"/>
        <v>7078.7</v>
      </c>
      <c r="S24" s="82">
        <f t="shared" si="11"/>
        <v>5.6007925715385509</v>
      </c>
      <c r="T24" s="83" t="s">
        <v>164</v>
      </c>
      <c r="U24" s="83" t="s">
        <v>166</v>
      </c>
      <c r="V24" s="83" t="s">
        <v>160</v>
      </c>
      <c r="W24" s="113">
        <f t="shared" si="2"/>
        <v>60</v>
      </c>
      <c r="AA24" s="75" t="s">
        <v>104</v>
      </c>
      <c r="AB24" s="44"/>
    </row>
    <row r="25" spans="1:28" ht="15">
      <c r="A25" s="15">
        <f t="shared" si="8"/>
        <v>12</v>
      </c>
      <c r="B25" s="15" t="s">
        <v>185</v>
      </c>
      <c r="C25" s="16">
        <v>2019</v>
      </c>
      <c r="D25" s="75" t="s">
        <v>15</v>
      </c>
      <c r="E25" s="16" t="s">
        <v>186</v>
      </c>
      <c r="F25" s="17">
        <v>21</v>
      </c>
      <c r="G25" s="75" t="s">
        <v>103</v>
      </c>
      <c r="H25" s="75" t="s">
        <v>104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No</v>
      </c>
      <c r="J25" s="37">
        <v>30995</v>
      </c>
      <c r="K25" s="37">
        <v>31995</v>
      </c>
      <c r="L25" s="35">
        <v>1</v>
      </c>
      <c r="M25" s="78">
        <f t="shared" si="9"/>
        <v>30995</v>
      </c>
      <c r="N25" s="79">
        <f t="shared" si="10"/>
        <v>1.0322632682690756</v>
      </c>
      <c r="O25" s="80">
        <f t="shared" si="0"/>
        <v>-1000</v>
      </c>
      <c r="P25" s="19">
        <v>5132.1000000000004</v>
      </c>
      <c r="Q25" s="19">
        <v>8805.9599999999991</v>
      </c>
      <c r="R25" s="81">
        <f t="shared" si="1"/>
        <v>13938.06</v>
      </c>
      <c r="S25" s="82">
        <f t="shared" si="11"/>
        <v>8.8947273536576983</v>
      </c>
      <c r="T25" s="83" t="s">
        <v>155</v>
      </c>
      <c r="U25" s="83" t="s">
        <v>153</v>
      </c>
      <c r="V25" s="83" t="s">
        <v>154</v>
      </c>
      <c r="W25" s="113">
        <f t="shared" si="2"/>
        <v>30</v>
      </c>
      <c r="AA25" s="75" t="s">
        <v>108</v>
      </c>
      <c r="AB25" s="44">
        <v>-1356</v>
      </c>
    </row>
    <row r="26" spans="1:28" ht="15">
      <c r="A26" s="15">
        <f t="shared" si="8"/>
        <v>13</v>
      </c>
      <c r="B26" s="115" t="s">
        <v>188</v>
      </c>
      <c r="C26" s="16">
        <v>2016</v>
      </c>
      <c r="D26" s="75" t="s">
        <v>17</v>
      </c>
      <c r="E26" s="16" t="s">
        <v>187</v>
      </c>
      <c r="F26" s="17">
        <v>1</v>
      </c>
      <c r="G26" s="75" t="s">
        <v>103</v>
      </c>
      <c r="H26" s="75" t="s">
        <v>104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37">
        <v>21000</v>
      </c>
      <c r="K26" s="37">
        <v>21000</v>
      </c>
      <c r="L26" s="35">
        <v>1</v>
      </c>
      <c r="M26" s="78">
        <f t="shared" si="9"/>
        <v>21000</v>
      </c>
      <c r="N26" s="79">
        <f t="shared" si="10"/>
        <v>1</v>
      </c>
      <c r="O26" s="80">
        <f t="shared" si="0"/>
        <v>0</v>
      </c>
      <c r="P26" s="19">
        <v>1350</v>
      </c>
      <c r="Q26" s="19">
        <v>2780.98</v>
      </c>
      <c r="R26" s="81">
        <f t="shared" si="1"/>
        <v>4130.9799999999996</v>
      </c>
      <c r="S26" s="82">
        <f t="shared" si="11"/>
        <v>75.682076335877852</v>
      </c>
      <c r="T26" s="83" t="s">
        <v>175</v>
      </c>
      <c r="U26" s="83" t="s">
        <v>166</v>
      </c>
      <c r="V26" s="83" t="s">
        <v>160</v>
      </c>
      <c r="W26" s="113">
        <f t="shared" si="2"/>
        <v>30</v>
      </c>
      <c r="AA26" s="75" t="s">
        <v>104</v>
      </c>
      <c r="AB26" s="44"/>
    </row>
    <row r="27" spans="1:28" ht="15">
      <c r="A27" s="15">
        <f t="shared" si="8"/>
        <v>14</v>
      </c>
      <c r="B27" s="15" t="s">
        <v>189</v>
      </c>
      <c r="C27" s="16">
        <v>2014</v>
      </c>
      <c r="D27" s="75" t="s">
        <v>43</v>
      </c>
      <c r="E27" s="16" t="s">
        <v>190</v>
      </c>
      <c r="F27" s="17">
        <v>1</v>
      </c>
      <c r="G27" s="75" t="s">
        <v>120</v>
      </c>
      <c r="H27" s="75" t="s">
        <v>104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No</v>
      </c>
      <c r="J27" s="37">
        <v>14999</v>
      </c>
      <c r="K27" s="37">
        <v>13345.79</v>
      </c>
      <c r="L27" s="35">
        <v>0.98</v>
      </c>
      <c r="M27" s="78">
        <f t="shared" si="9"/>
        <v>15305.102040816328</v>
      </c>
      <c r="N27" s="79">
        <f t="shared" si="10"/>
        <v>0.87198307887192483</v>
      </c>
      <c r="O27" s="80">
        <f t="shared" si="0"/>
        <v>1653.2099999999991</v>
      </c>
      <c r="P27" s="19">
        <v>3784.69</v>
      </c>
      <c r="Q27" s="19">
        <v>817</v>
      </c>
      <c r="R27" s="81">
        <f t="shared" si="1"/>
        <v>4601.6900000000005</v>
      </c>
      <c r="S27" s="82">
        <f t="shared" si="11"/>
        <v>173.26546108711341</v>
      </c>
      <c r="T27" s="83" t="s">
        <v>161</v>
      </c>
      <c r="U27" s="83" t="s">
        <v>166</v>
      </c>
      <c r="V27" s="83" t="s">
        <v>160</v>
      </c>
      <c r="W27" s="113">
        <f t="shared" si="2"/>
        <v>30</v>
      </c>
      <c r="AA27" s="75" t="s">
        <v>104</v>
      </c>
      <c r="AB27" s="44"/>
    </row>
    <row r="28" spans="1:28" ht="15">
      <c r="A28" s="15">
        <f t="shared" si="8"/>
        <v>15</v>
      </c>
      <c r="B28" s="15" t="s">
        <v>191</v>
      </c>
      <c r="C28" s="16">
        <v>2023</v>
      </c>
      <c r="D28" s="75" t="s">
        <v>17</v>
      </c>
      <c r="E28" s="16" t="s">
        <v>192</v>
      </c>
      <c r="F28" s="17">
        <v>51</v>
      </c>
      <c r="G28" s="75" t="s">
        <v>109</v>
      </c>
      <c r="H28" s="75" t="s">
        <v>104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37">
        <v>42398</v>
      </c>
      <c r="K28" s="37">
        <v>42398</v>
      </c>
      <c r="L28" s="35">
        <v>0.99</v>
      </c>
      <c r="M28" s="78">
        <f t="shared" si="9"/>
        <v>42826.262626262629</v>
      </c>
      <c r="N28" s="79">
        <f t="shared" si="10"/>
        <v>0.98999999999999988</v>
      </c>
      <c r="O28" s="80">
        <f t="shared" si="0"/>
        <v>0</v>
      </c>
      <c r="P28" s="19">
        <v>3348.8900000000003</v>
      </c>
      <c r="Q28" s="19">
        <v>3120.81</v>
      </c>
      <c r="R28" s="81">
        <f t="shared" si="1"/>
        <v>6469.7000000000007</v>
      </c>
      <c r="S28" s="82">
        <f t="shared" si="11"/>
        <v>1.1695137376558722</v>
      </c>
      <c r="T28" s="83" t="s">
        <v>170</v>
      </c>
      <c r="U28" s="83" t="s">
        <v>159</v>
      </c>
      <c r="V28" s="83" t="s">
        <v>160</v>
      </c>
      <c r="W28" s="113">
        <f t="shared" si="2"/>
        <v>60</v>
      </c>
      <c r="AA28" s="75" t="s">
        <v>108</v>
      </c>
      <c r="AB28" s="44">
        <v>1000</v>
      </c>
    </row>
    <row r="29" spans="1:28" ht="15">
      <c r="A29" s="15">
        <f t="shared" si="8"/>
        <v>16</v>
      </c>
      <c r="B29" s="15" t="s">
        <v>193</v>
      </c>
      <c r="C29" s="16">
        <v>2015</v>
      </c>
      <c r="D29" s="75" t="s">
        <v>21</v>
      </c>
      <c r="E29" s="16" t="s">
        <v>156</v>
      </c>
      <c r="F29" s="17">
        <v>5</v>
      </c>
      <c r="G29" s="75" t="s">
        <v>109</v>
      </c>
      <c r="H29" s="75" t="s">
        <v>104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No</v>
      </c>
      <c r="J29" s="37">
        <v>29998</v>
      </c>
      <c r="K29" s="37">
        <v>29998</v>
      </c>
      <c r="L29" s="35">
        <v>1</v>
      </c>
      <c r="M29" s="78">
        <f t="shared" si="9"/>
        <v>29998</v>
      </c>
      <c r="N29" s="79">
        <f t="shared" si="10"/>
        <v>1</v>
      </c>
      <c r="O29" s="80">
        <f t="shared" si="0"/>
        <v>0</v>
      </c>
      <c r="P29" s="19">
        <v>5013</v>
      </c>
      <c r="Q29" s="19">
        <v>3156.3</v>
      </c>
      <c r="R29" s="81">
        <f t="shared" si="1"/>
        <v>8169.3</v>
      </c>
      <c r="S29" s="82">
        <f t="shared" si="11"/>
        <v>23.541709025415248</v>
      </c>
      <c r="T29" s="83" t="s">
        <v>164</v>
      </c>
      <c r="U29" s="83" t="s">
        <v>159</v>
      </c>
      <c r="V29" s="83" t="s">
        <v>160</v>
      </c>
      <c r="W29" s="113">
        <f t="shared" si="2"/>
        <v>30</v>
      </c>
      <c r="AA29" s="75" t="s">
        <v>104</v>
      </c>
      <c r="AB29" s="44">
        <v>-500</v>
      </c>
    </row>
    <row r="30" spans="1:28" ht="15">
      <c r="A30" s="15">
        <f t="shared" si="8"/>
        <v>17</v>
      </c>
      <c r="B30" s="15" t="s">
        <v>194</v>
      </c>
      <c r="C30" s="16">
        <v>2020</v>
      </c>
      <c r="D30" s="75" t="s">
        <v>21</v>
      </c>
      <c r="E30" s="16" t="s">
        <v>195</v>
      </c>
      <c r="F30" s="17">
        <v>25</v>
      </c>
      <c r="G30" s="75" t="s">
        <v>112</v>
      </c>
      <c r="H30" s="75" t="s">
        <v>104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No</v>
      </c>
      <c r="J30" s="37">
        <v>51888</v>
      </c>
      <c r="K30" s="37">
        <v>51888</v>
      </c>
      <c r="L30" s="35">
        <v>1.08</v>
      </c>
      <c r="M30" s="78">
        <f t="shared" si="9"/>
        <v>48044.444444444438</v>
      </c>
      <c r="N30" s="79">
        <f t="shared" si="10"/>
        <v>1.08</v>
      </c>
      <c r="O30" s="80">
        <f t="shared" si="0"/>
        <v>0</v>
      </c>
      <c r="P30" s="19">
        <v>3525.12</v>
      </c>
      <c r="Q30" s="19">
        <v>1885.19</v>
      </c>
      <c r="R30" s="81">
        <f t="shared" si="1"/>
        <v>5410.3099999999995</v>
      </c>
      <c r="S30" s="82">
        <f t="shared" si="11"/>
        <v>1.6109144864821947</v>
      </c>
      <c r="T30" s="83" t="s">
        <v>170</v>
      </c>
      <c r="U30" s="83" t="s">
        <v>166</v>
      </c>
      <c r="V30" s="83" t="s">
        <v>160</v>
      </c>
      <c r="W30" s="113">
        <f t="shared" si="2"/>
        <v>30</v>
      </c>
      <c r="AA30" s="75" t="s">
        <v>108</v>
      </c>
      <c r="AB30" s="44">
        <v>1100</v>
      </c>
    </row>
    <row r="31" spans="1:28" ht="15">
      <c r="A31" s="15">
        <f t="shared" si="8"/>
        <v>18</v>
      </c>
      <c r="B31" s="15" t="s">
        <v>196</v>
      </c>
      <c r="C31" s="16">
        <v>2017</v>
      </c>
      <c r="D31" s="75" t="s">
        <v>52</v>
      </c>
      <c r="E31" s="16" t="s">
        <v>197</v>
      </c>
      <c r="F31" s="17">
        <v>1</v>
      </c>
      <c r="G31" s="75" t="s">
        <v>109</v>
      </c>
      <c r="H31" s="75" t="s">
        <v>104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No</v>
      </c>
      <c r="J31" s="37">
        <v>22406</v>
      </c>
      <c r="K31" s="37">
        <v>22406</v>
      </c>
      <c r="L31" s="35">
        <v>1.05</v>
      </c>
      <c r="M31" s="78">
        <f t="shared" si="9"/>
        <v>21339.047619047618</v>
      </c>
      <c r="N31" s="79">
        <f t="shared" si="10"/>
        <v>1.05</v>
      </c>
      <c r="O31" s="80">
        <f t="shared" si="0"/>
        <v>0</v>
      </c>
      <c r="P31" s="19">
        <v>5856</v>
      </c>
      <c r="Q31" s="19">
        <v>6623.7</v>
      </c>
      <c r="R31" s="81">
        <f t="shared" si="1"/>
        <v>12479.7</v>
      </c>
      <c r="S31" s="82">
        <f t="shared" si="11"/>
        <v>271.46175226586104</v>
      </c>
      <c r="T31" s="83" t="s">
        <v>164</v>
      </c>
      <c r="U31" s="83" t="s">
        <v>159</v>
      </c>
      <c r="V31" s="83" t="s">
        <v>160</v>
      </c>
      <c r="W31" s="113">
        <f t="shared" si="2"/>
        <v>30</v>
      </c>
      <c r="AA31" s="75" t="s">
        <v>108</v>
      </c>
      <c r="AB31" s="44">
        <v>1500</v>
      </c>
    </row>
    <row r="32" spans="1:28" ht="15">
      <c r="A32" s="15">
        <f t="shared" si="8"/>
        <v>19</v>
      </c>
      <c r="B32" s="115" t="s">
        <v>198</v>
      </c>
      <c r="C32" s="16">
        <v>2019</v>
      </c>
      <c r="D32" s="75" t="s">
        <v>30</v>
      </c>
      <c r="E32" s="16" t="s">
        <v>199</v>
      </c>
      <c r="F32" s="17">
        <v>6</v>
      </c>
      <c r="G32" s="75" t="s">
        <v>112</v>
      </c>
      <c r="H32" s="75" t="s">
        <v>104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No</v>
      </c>
      <c r="J32" s="37">
        <v>16218</v>
      </c>
      <c r="K32" s="37">
        <v>16350</v>
      </c>
      <c r="L32" s="35">
        <v>1.06</v>
      </c>
      <c r="M32" s="78">
        <f t="shared" si="9"/>
        <v>15300</v>
      </c>
      <c r="N32" s="79">
        <f t="shared" si="10"/>
        <v>1.0686274509803921</v>
      </c>
      <c r="O32" s="80">
        <f t="shared" si="0"/>
        <v>-132</v>
      </c>
      <c r="P32" s="19">
        <v>4976.5300000000007</v>
      </c>
      <c r="Q32" s="19">
        <v>1093.54</v>
      </c>
      <c r="R32" s="81">
        <f t="shared" si="1"/>
        <v>6070.0700000000006</v>
      </c>
      <c r="S32" s="82">
        <f t="shared" si="11"/>
        <v>32.022258818109165</v>
      </c>
      <c r="T32" s="83" t="s">
        <v>163</v>
      </c>
      <c r="U32" s="83" t="s">
        <v>166</v>
      </c>
      <c r="V32" s="83" t="s">
        <v>160</v>
      </c>
      <c r="W32" s="113">
        <f t="shared" si="2"/>
        <v>30</v>
      </c>
      <c r="AA32" s="75" t="s">
        <v>104</v>
      </c>
      <c r="AB32" s="44"/>
    </row>
    <row r="33" spans="1:28" ht="15">
      <c r="A33" s="15">
        <f t="shared" si="8"/>
        <v>20</v>
      </c>
      <c r="B33" s="15" t="s">
        <v>200</v>
      </c>
      <c r="C33" s="16">
        <v>2020</v>
      </c>
      <c r="D33" s="75" t="s">
        <v>21</v>
      </c>
      <c r="E33" s="16" t="s">
        <v>201</v>
      </c>
      <c r="F33" s="17">
        <v>46</v>
      </c>
      <c r="G33" s="75" t="s">
        <v>120</v>
      </c>
      <c r="H33" s="75" t="s">
        <v>104</v>
      </c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No</v>
      </c>
      <c r="J33" s="37">
        <v>20997</v>
      </c>
      <c r="K33" s="37">
        <v>20997</v>
      </c>
      <c r="L33" s="35">
        <v>1.02</v>
      </c>
      <c r="M33" s="78">
        <f t="shared" si="9"/>
        <v>20585.294117647059</v>
      </c>
      <c r="N33" s="79">
        <f t="shared" si="10"/>
        <v>1.02</v>
      </c>
      <c r="O33" s="80">
        <f t="shared" si="0"/>
        <v>0</v>
      </c>
      <c r="P33" s="19">
        <v>1658.4</v>
      </c>
      <c r="Q33" s="19">
        <v>3712.3</v>
      </c>
      <c r="R33" s="81">
        <f t="shared" si="1"/>
        <v>5370.7000000000007</v>
      </c>
      <c r="S33" s="82">
        <f t="shared" si="11"/>
        <v>2.1734543978049765</v>
      </c>
      <c r="T33" s="83" t="s">
        <v>170</v>
      </c>
      <c r="U33" s="83" t="s">
        <v>159</v>
      </c>
      <c r="V33" s="83" t="s">
        <v>160</v>
      </c>
      <c r="W33" s="113">
        <f t="shared" si="2"/>
        <v>60</v>
      </c>
      <c r="AA33" s="75" t="s">
        <v>108</v>
      </c>
      <c r="AB33" s="44">
        <v>-1257.75</v>
      </c>
    </row>
    <row r="34" spans="1:28" ht="15">
      <c r="A34" s="15">
        <f t="shared" si="8"/>
        <v>21</v>
      </c>
      <c r="B34" s="15" t="s">
        <v>202</v>
      </c>
      <c r="C34" s="16">
        <v>2020</v>
      </c>
      <c r="D34" s="75" t="s">
        <v>17</v>
      </c>
      <c r="E34" s="16" t="s">
        <v>187</v>
      </c>
      <c r="F34" s="17">
        <v>65</v>
      </c>
      <c r="G34" s="75" t="s">
        <v>120</v>
      </c>
      <c r="H34" s="75" t="s">
        <v>104</v>
      </c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Yes</v>
      </c>
      <c r="J34" s="37">
        <v>39989</v>
      </c>
      <c r="K34" s="37">
        <v>39989</v>
      </c>
      <c r="L34" s="35">
        <v>0.94</v>
      </c>
      <c r="M34" s="78">
        <f t="shared" si="9"/>
        <v>42541.48936170213</v>
      </c>
      <c r="N34" s="79">
        <f t="shared" si="10"/>
        <v>0.94</v>
      </c>
      <c r="O34" s="80">
        <f t="shared" si="0"/>
        <v>0</v>
      </c>
      <c r="P34" s="19">
        <v>3350</v>
      </c>
      <c r="Q34" s="19">
        <v>3322.96</v>
      </c>
      <c r="R34" s="81">
        <f t="shared" si="1"/>
        <v>6672.96</v>
      </c>
      <c r="S34" s="82">
        <f t="shared" si="11"/>
        <v>1.0087047219545378</v>
      </c>
      <c r="T34" s="83" t="s">
        <v>164</v>
      </c>
      <c r="U34" s="83" t="s">
        <v>159</v>
      </c>
      <c r="V34" s="83" t="s">
        <v>160</v>
      </c>
      <c r="W34" s="113">
        <f t="shared" si="2"/>
        <v>90</v>
      </c>
      <c r="AA34" s="75" t="s">
        <v>108</v>
      </c>
      <c r="AB34" s="44">
        <v>2000</v>
      </c>
    </row>
    <row r="35" spans="1:28" ht="15">
      <c r="A35" s="15">
        <f t="shared" si="8"/>
        <v>22</v>
      </c>
      <c r="B35" s="15" t="s">
        <v>203</v>
      </c>
      <c r="C35" s="16">
        <v>2015</v>
      </c>
      <c r="D35" s="75" t="s">
        <v>19</v>
      </c>
      <c r="E35" s="16" t="s">
        <v>204</v>
      </c>
      <c r="F35" s="17">
        <v>15</v>
      </c>
      <c r="G35" s="75" t="s">
        <v>110</v>
      </c>
      <c r="H35" s="75" t="s">
        <v>104</v>
      </c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No</v>
      </c>
      <c r="J35" s="37">
        <v>13868</v>
      </c>
      <c r="K35" s="37">
        <v>13868</v>
      </c>
      <c r="L35" s="35">
        <v>1.05</v>
      </c>
      <c r="M35" s="78">
        <f t="shared" si="9"/>
        <v>13207.619047619048</v>
      </c>
      <c r="N35" s="79">
        <f t="shared" si="10"/>
        <v>1.05</v>
      </c>
      <c r="O35" s="80">
        <f t="shared" si="0"/>
        <v>0</v>
      </c>
      <c r="P35" s="19">
        <v>4000.4</v>
      </c>
      <c r="Q35" s="19">
        <v>789</v>
      </c>
      <c r="R35" s="81">
        <f t="shared" si="1"/>
        <v>4789.3999999999996</v>
      </c>
      <c r="S35" s="82">
        <f t="shared" si="11"/>
        <v>11.648789979326278</v>
      </c>
      <c r="T35" s="83" t="s">
        <v>163</v>
      </c>
      <c r="U35" s="83" t="s">
        <v>159</v>
      </c>
      <c r="V35" s="83" t="s">
        <v>160</v>
      </c>
      <c r="W35" s="113">
        <f t="shared" si="2"/>
        <v>30</v>
      </c>
      <c r="AA35" s="75" t="s">
        <v>104</v>
      </c>
      <c r="AB35" s="44"/>
    </row>
    <row r="36" spans="1:28" ht="15">
      <c r="A36" s="15">
        <f t="shared" si="8"/>
        <v>23</v>
      </c>
      <c r="B36" s="15" t="s">
        <v>205</v>
      </c>
      <c r="C36" s="16">
        <v>2015</v>
      </c>
      <c r="D36" s="75" t="s">
        <v>47</v>
      </c>
      <c r="E36" s="16">
        <v>1500</v>
      </c>
      <c r="F36" s="17">
        <v>10</v>
      </c>
      <c r="G36" s="75" t="s">
        <v>110</v>
      </c>
      <c r="H36" s="75" t="s">
        <v>104</v>
      </c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No</v>
      </c>
      <c r="J36" s="37">
        <v>22300</v>
      </c>
      <c r="K36" s="37">
        <v>22300</v>
      </c>
      <c r="L36" s="35">
        <v>1.04</v>
      </c>
      <c r="M36" s="78">
        <f t="shared" si="9"/>
        <v>21442.307692307691</v>
      </c>
      <c r="N36" s="79">
        <f t="shared" si="10"/>
        <v>1.04</v>
      </c>
      <c r="O36" s="80">
        <f t="shared" si="0"/>
        <v>0</v>
      </c>
      <c r="P36" s="19">
        <v>4099.76</v>
      </c>
      <c r="Q36" s="19">
        <v>2051</v>
      </c>
      <c r="R36" s="81">
        <f t="shared" si="1"/>
        <v>6150.76</v>
      </c>
      <c r="S36" s="82">
        <f t="shared" si="11"/>
        <v>12.166178028421605</v>
      </c>
      <c r="T36" s="83" t="s">
        <v>162</v>
      </c>
      <c r="U36" s="83" t="s">
        <v>159</v>
      </c>
      <c r="V36" s="83" t="s">
        <v>160</v>
      </c>
      <c r="W36" s="113">
        <f t="shared" si="2"/>
        <v>30</v>
      </c>
      <c r="AA36" s="75" t="s">
        <v>108</v>
      </c>
      <c r="AB36" s="44">
        <v>-833.45</v>
      </c>
    </row>
    <row r="37" spans="1:28" ht="15">
      <c r="A37" s="15">
        <f t="shared" si="8"/>
        <v>24</v>
      </c>
      <c r="B37" s="15" t="s">
        <v>206</v>
      </c>
      <c r="C37" s="16">
        <v>2016</v>
      </c>
      <c r="D37" s="75" t="s">
        <v>18</v>
      </c>
      <c r="E37" s="16" t="s">
        <v>207</v>
      </c>
      <c r="F37" s="17">
        <v>30</v>
      </c>
      <c r="G37" s="75" t="s">
        <v>110</v>
      </c>
      <c r="H37" s="75" t="s">
        <v>104</v>
      </c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No</v>
      </c>
      <c r="J37" s="37">
        <v>11425</v>
      </c>
      <c r="K37" s="37">
        <v>11335.75</v>
      </c>
      <c r="L37" s="35">
        <v>0.99</v>
      </c>
      <c r="M37" s="78">
        <f t="shared" si="9"/>
        <v>11540.404040404041</v>
      </c>
      <c r="N37" s="79">
        <f t="shared" si="10"/>
        <v>0.98226630196936537</v>
      </c>
      <c r="O37" s="80">
        <f t="shared" si="0"/>
        <v>89.25</v>
      </c>
      <c r="P37" s="19">
        <v>1260.75</v>
      </c>
      <c r="Q37" s="19">
        <v>1132.5</v>
      </c>
      <c r="R37" s="81">
        <f t="shared" si="1"/>
        <v>2393.25</v>
      </c>
      <c r="S37" s="82">
        <f t="shared" si="11"/>
        <v>2.8505210918114146</v>
      </c>
      <c r="T37" s="83" t="s">
        <v>161</v>
      </c>
      <c r="U37" s="83" t="s">
        <v>166</v>
      </c>
      <c r="V37" s="83" t="s">
        <v>160</v>
      </c>
      <c r="W37" s="113">
        <f t="shared" si="2"/>
        <v>30</v>
      </c>
      <c r="AA37" s="75" t="s">
        <v>104</v>
      </c>
      <c r="AB37" s="44"/>
    </row>
    <row r="38" spans="1:28" ht="15">
      <c r="A38" s="15">
        <f t="shared" si="8"/>
        <v>25</v>
      </c>
      <c r="B38" s="15" t="s">
        <v>208</v>
      </c>
      <c r="C38" s="16">
        <v>2014</v>
      </c>
      <c r="D38" s="75" t="s">
        <v>47</v>
      </c>
      <c r="E38" s="16">
        <v>2500</v>
      </c>
      <c r="F38" s="17">
        <v>23</v>
      </c>
      <c r="G38" s="75" t="s">
        <v>110</v>
      </c>
      <c r="H38" s="75" t="s">
        <v>104</v>
      </c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No</v>
      </c>
      <c r="J38" s="37">
        <v>24415</v>
      </c>
      <c r="K38" s="37">
        <v>23415</v>
      </c>
      <c r="L38" s="35">
        <v>0.96</v>
      </c>
      <c r="M38" s="78">
        <f t="shared" si="9"/>
        <v>25432.291666666668</v>
      </c>
      <c r="N38" s="79">
        <f t="shared" si="10"/>
        <v>0.92067990989146009</v>
      </c>
      <c r="O38" s="80">
        <f t="shared" si="0"/>
        <v>1000</v>
      </c>
      <c r="P38" s="19">
        <v>963.05</v>
      </c>
      <c r="Q38" s="19">
        <v>517.41</v>
      </c>
      <c r="R38" s="81">
        <f t="shared" si="1"/>
        <v>1480.46</v>
      </c>
      <c r="S38" s="82">
        <f t="shared" si="11"/>
        <v>1.0320893014328087</v>
      </c>
      <c r="T38" s="83" t="s">
        <v>162</v>
      </c>
      <c r="U38" s="83" t="s">
        <v>159</v>
      </c>
      <c r="V38" s="83" t="s">
        <v>160</v>
      </c>
      <c r="W38" s="113">
        <f t="shared" si="2"/>
        <v>30</v>
      </c>
      <c r="AA38" s="75" t="s">
        <v>108</v>
      </c>
      <c r="AB38" s="44">
        <v>-707</v>
      </c>
    </row>
    <row r="39" spans="1:28" ht="15">
      <c r="A39" s="15">
        <f t="shared" si="8"/>
        <v>26</v>
      </c>
      <c r="B39" s="15" t="s">
        <v>209</v>
      </c>
      <c r="C39" s="16">
        <v>2015</v>
      </c>
      <c r="D39" s="75" t="s">
        <v>23</v>
      </c>
      <c r="E39" s="16" t="s">
        <v>210</v>
      </c>
      <c r="F39" s="17">
        <v>12</v>
      </c>
      <c r="G39" s="75" t="s">
        <v>110</v>
      </c>
      <c r="H39" s="75" t="s">
        <v>104</v>
      </c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No</v>
      </c>
      <c r="J39" s="37">
        <v>11859</v>
      </c>
      <c r="K39" s="37">
        <v>11859</v>
      </c>
      <c r="L39" s="35">
        <v>0.99</v>
      </c>
      <c r="M39" s="78">
        <f t="shared" si="9"/>
        <v>11978.787878787878</v>
      </c>
      <c r="N39" s="79">
        <f t="shared" si="10"/>
        <v>0.9900000000000001</v>
      </c>
      <c r="O39" s="80">
        <f t="shared" si="0"/>
        <v>0</v>
      </c>
      <c r="P39" s="19">
        <v>2634.01</v>
      </c>
      <c r="Q39" s="19">
        <v>4962</v>
      </c>
      <c r="R39" s="81">
        <f t="shared" si="1"/>
        <v>7596.01</v>
      </c>
      <c r="S39" s="82">
        <f t="shared" si="11"/>
        <v>24.702498322491408</v>
      </c>
      <c r="T39" s="83" t="s">
        <v>164</v>
      </c>
      <c r="U39" s="83" t="s">
        <v>159</v>
      </c>
      <c r="V39" s="83" t="s">
        <v>160</v>
      </c>
      <c r="W39" s="113">
        <f t="shared" si="2"/>
        <v>30</v>
      </c>
      <c r="AA39" s="75" t="s">
        <v>108</v>
      </c>
      <c r="AB39" s="44">
        <v>1500</v>
      </c>
    </row>
    <row r="40" spans="1:28" ht="15">
      <c r="A40" s="15">
        <f t="shared" si="8"/>
        <v>27</v>
      </c>
      <c r="B40" s="15" t="s">
        <v>211</v>
      </c>
      <c r="C40" s="16">
        <v>2018</v>
      </c>
      <c r="D40" s="75" t="s">
        <v>21</v>
      </c>
      <c r="E40" s="16" t="s">
        <v>156</v>
      </c>
      <c r="F40" s="17">
        <v>76</v>
      </c>
      <c r="G40" s="75" t="s">
        <v>120</v>
      </c>
      <c r="H40" s="75" t="s">
        <v>104</v>
      </c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No</v>
      </c>
      <c r="J40" s="37">
        <v>37269</v>
      </c>
      <c r="K40" s="37">
        <v>36920</v>
      </c>
      <c r="L40" s="35">
        <v>0.99</v>
      </c>
      <c r="M40" s="78">
        <f t="shared" si="9"/>
        <v>37645.454545454544</v>
      </c>
      <c r="N40" s="79">
        <f t="shared" si="10"/>
        <v>0.98072929244143925</v>
      </c>
      <c r="O40" s="80">
        <f t="shared" si="0"/>
        <v>349</v>
      </c>
      <c r="P40" s="19">
        <v>1350</v>
      </c>
      <c r="Q40" s="19">
        <v>737.23</v>
      </c>
      <c r="R40" s="81">
        <f t="shared" si="1"/>
        <v>2087.23</v>
      </c>
      <c r="S40" s="82">
        <f t="shared" si="11"/>
        <v>0.27795555095216251</v>
      </c>
      <c r="T40" s="83" t="s">
        <v>162</v>
      </c>
      <c r="U40" s="83" t="s">
        <v>159</v>
      </c>
      <c r="V40" s="83" t="s">
        <v>160</v>
      </c>
      <c r="W40" s="113">
        <f t="shared" si="2"/>
        <v>90</v>
      </c>
      <c r="AA40" s="75" t="s">
        <v>104</v>
      </c>
      <c r="AB40" s="44"/>
    </row>
    <row r="41" spans="1:28" ht="15">
      <c r="A41" s="15">
        <f t="shared" si="8"/>
        <v>28</v>
      </c>
      <c r="B41" s="15" t="s">
        <v>212</v>
      </c>
      <c r="C41" s="16">
        <v>2015</v>
      </c>
      <c r="D41" s="75" t="s">
        <v>17</v>
      </c>
      <c r="E41" s="16" t="s">
        <v>213</v>
      </c>
      <c r="F41" s="17">
        <v>51</v>
      </c>
      <c r="G41" s="75" t="s">
        <v>109</v>
      </c>
      <c r="H41" s="75" t="s">
        <v>104</v>
      </c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Yes</v>
      </c>
      <c r="J41" s="37">
        <v>19629</v>
      </c>
      <c r="K41" s="37">
        <v>19629</v>
      </c>
      <c r="L41" s="35">
        <v>1.1000000000000001</v>
      </c>
      <c r="M41" s="78">
        <f t="shared" si="9"/>
        <v>17844.545454545452</v>
      </c>
      <c r="N41" s="79">
        <f t="shared" si="10"/>
        <v>1.1000000000000001</v>
      </c>
      <c r="O41" s="80">
        <f t="shared" si="0"/>
        <v>0</v>
      </c>
      <c r="P41" s="19">
        <v>-327.48</v>
      </c>
      <c r="Q41" s="19">
        <v>5940.5</v>
      </c>
      <c r="R41" s="81">
        <f t="shared" si="1"/>
        <v>5613.02</v>
      </c>
      <c r="S41" s="82">
        <f t="shared" si="11"/>
        <v>1.9853860824683927</v>
      </c>
      <c r="T41" s="83" t="s">
        <v>162</v>
      </c>
      <c r="U41" s="83" t="s">
        <v>159</v>
      </c>
      <c r="V41" s="83" t="s">
        <v>160</v>
      </c>
      <c r="W41" s="113">
        <f t="shared" si="2"/>
        <v>60</v>
      </c>
      <c r="AA41" s="75" t="s">
        <v>108</v>
      </c>
      <c r="AB41" s="44">
        <v>0</v>
      </c>
    </row>
    <row r="42" spans="1:28" ht="15">
      <c r="A42" s="15">
        <f t="shared" si="8"/>
        <v>29</v>
      </c>
      <c r="B42" s="15" t="s">
        <v>214</v>
      </c>
      <c r="C42" s="16">
        <v>2016</v>
      </c>
      <c r="D42" s="75" t="s">
        <v>17</v>
      </c>
      <c r="E42" s="16" t="s">
        <v>215</v>
      </c>
      <c r="F42" s="17">
        <v>1</v>
      </c>
      <c r="G42" s="75" t="s">
        <v>110</v>
      </c>
      <c r="H42" s="75" t="s">
        <v>104</v>
      </c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Yes</v>
      </c>
      <c r="J42" s="37">
        <v>12000</v>
      </c>
      <c r="K42" s="37">
        <v>12000</v>
      </c>
      <c r="L42" s="35">
        <v>0.98</v>
      </c>
      <c r="M42" s="78">
        <f t="shared" si="9"/>
        <v>12244.897959183674</v>
      </c>
      <c r="N42" s="79">
        <f t="shared" si="10"/>
        <v>0.98</v>
      </c>
      <c r="O42" s="80">
        <f t="shared" si="0"/>
        <v>0</v>
      </c>
      <c r="P42" s="19">
        <v>858.66000000000008</v>
      </c>
      <c r="Q42" s="19">
        <v>3016.55</v>
      </c>
      <c r="R42" s="81">
        <f t="shared" si="1"/>
        <v>3875.21</v>
      </c>
      <c r="S42" s="82">
        <f t="shared" si="11"/>
        <v>125.21614096688549</v>
      </c>
      <c r="T42" s="83" t="s">
        <v>162</v>
      </c>
      <c r="U42" s="83" t="s">
        <v>159</v>
      </c>
      <c r="V42" s="83" t="s">
        <v>160</v>
      </c>
      <c r="W42" s="113">
        <f t="shared" si="2"/>
        <v>30</v>
      </c>
      <c r="AA42" s="75" t="s">
        <v>104</v>
      </c>
      <c r="AB42" s="44"/>
    </row>
    <row r="43" spans="1:28" ht="15">
      <c r="A43" s="15">
        <f t="shared" si="8"/>
        <v>30</v>
      </c>
      <c r="B43" s="15" t="s">
        <v>216</v>
      </c>
      <c r="C43" s="16">
        <v>2021</v>
      </c>
      <c r="D43" s="75" t="s">
        <v>23</v>
      </c>
      <c r="E43" s="16" t="s">
        <v>217</v>
      </c>
      <c r="F43" s="17">
        <v>24</v>
      </c>
      <c r="G43" s="75" t="s">
        <v>120</v>
      </c>
      <c r="H43" s="75" t="s">
        <v>104</v>
      </c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No</v>
      </c>
      <c r="J43" s="37">
        <v>43700</v>
      </c>
      <c r="K43" s="37">
        <v>43700</v>
      </c>
      <c r="L43" s="35">
        <v>0.98</v>
      </c>
      <c r="M43" s="78">
        <f t="shared" si="9"/>
        <v>44591.836734693876</v>
      </c>
      <c r="N43" s="79">
        <f t="shared" si="10"/>
        <v>0.98000000000000009</v>
      </c>
      <c r="O43" s="80">
        <f t="shared" si="0"/>
        <v>0</v>
      </c>
      <c r="P43" s="19">
        <v>5700</v>
      </c>
      <c r="Q43" s="19">
        <v>7334.65</v>
      </c>
      <c r="R43" s="81">
        <f t="shared" si="1"/>
        <v>13034.65</v>
      </c>
      <c r="S43" s="82">
        <f t="shared" si="11"/>
        <v>5.1452565789473681</v>
      </c>
      <c r="T43" s="83" t="s">
        <v>162</v>
      </c>
      <c r="U43" s="83" t="s">
        <v>159</v>
      </c>
      <c r="V43" s="83" t="s">
        <v>160</v>
      </c>
      <c r="W43" s="113">
        <f t="shared" si="2"/>
        <v>30</v>
      </c>
      <c r="AA43" s="75" t="s">
        <v>108</v>
      </c>
      <c r="AB43" s="44">
        <v>500</v>
      </c>
    </row>
    <row r="44" spans="1:28" ht="15">
      <c r="A44" s="15" t="e">
        <f>#REF!+1</f>
        <v>#REF!</v>
      </c>
      <c r="B44" s="15" t="s">
        <v>218</v>
      </c>
      <c r="C44" s="16">
        <v>1994</v>
      </c>
      <c r="D44" s="75" t="s">
        <v>19</v>
      </c>
      <c r="E44" s="16">
        <v>2500</v>
      </c>
      <c r="F44" s="17">
        <v>25</v>
      </c>
      <c r="G44" s="75" t="s">
        <v>110</v>
      </c>
      <c r="H44" s="75" t="s">
        <v>104</v>
      </c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No</v>
      </c>
      <c r="J44" s="37">
        <v>6350</v>
      </c>
      <c r="K44" s="37">
        <v>6350</v>
      </c>
      <c r="L44" s="35">
        <v>0.98</v>
      </c>
      <c r="M44" s="78">
        <f t="shared" si="9"/>
        <v>6479.591836734694</v>
      </c>
      <c r="N44" s="79">
        <f t="shared" si="10"/>
        <v>0.98</v>
      </c>
      <c r="O44" s="80">
        <f t="shared" si="0"/>
        <v>0</v>
      </c>
      <c r="P44" s="19">
        <v>1350</v>
      </c>
      <c r="Q44" s="19">
        <v>463.16</v>
      </c>
      <c r="R44" s="81">
        <f t="shared" si="1"/>
        <v>1813.16</v>
      </c>
      <c r="S44" s="82">
        <f t="shared" si="11"/>
        <v>5.2219008000000002</v>
      </c>
      <c r="T44" s="83" t="s">
        <v>164</v>
      </c>
      <c r="U44" s="83" t="s">
        <v>166</v>
      </c>
      <c r="V44" s="83" t="s">
        <v>160</v>
      </c>
      <c r="W44" s="113">
        <f t="shared" ref="W44:W75" si="12">IF(AND(F44&gt;0,F44&lt;=30),30,IF(AND(F44&gt;=31,F44&lt;=45),45,IF(AND(F44&gt;=46,F44&lt;=60),60,IF(AND(F44&gt;=61,F44&lt;=90),90,IF(F44&gt;=91,91,0)))))</f>
        <v>30</v>
      </c>
      <c r="AA44" s="75" t="s">
        <v>104</v>
      </c>
      <c r="AB44" s="44"/>
    </row>
    <row r="45" spans="1:28" ht="15">
      <c r="A45" s="15" t="e">
        <f t="shared" si="8"/>
        <v>#REF!</v>
      </c>
      <c r="B45" s="15" t="s">
        <v>219</v>
      </c>
      <c r="C45" s="16">
        <v>2022</v>
      </c>
      <c r="D45" s="75" t="s">
        <v>17</v>
      </c>
      <c r="E45" s="16" t="s">
        <v>187</v>
      </c>
      <c r="F45" s="17">
        <v>53</v>
      </c>
      <c r="G45" s="75" t="s">
        <v>110</v>
      </c>
      <c r="H45" s="75" t="s">
        <v>104</v>
      </c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Yes</v>
      </c>
      <c r="J45" s="37">
        <v>57600</v>
      </c>
      <c r="K45" s="37">
        <v>57600</v>
      </c>
      <c r="L45" s="35">
        <v>0.98</v>
      </c>
      <c r="M45" s="78">
        <f t="shared" si="9"/>
        <v>58775.510204081635</v>
      </c>
      <c r="N45" s="79">
        <f t="shared" si="10"/>
        <v>0.98</v>
      </c>
      <c r="O45" s="80">
        <f t="shared" si="0"/>
        <v>0</v>
      </c>
      <c r="P45" s="19">
        <v>3260.1099999999997</v>
      </c>
      <c r="Q45" s="19">
        <v>1506</v>
      </c>
      <c r="R45" s="81">
        <f t="shared" si="1"/>
        <v>4766.1099999999997</v>
      </c>
      <c r="S45" s="82">
        <f t="shared" si="11"/>
        <v>0.59576081877402709</v>
      </c>
      <c r="T45" s="83" t="s">
        <v>161</v>
      </c>
      <c r="U45" s="83" t="s">
        <v>166</v>
      </c>
      <c r="V45" s="83" t="s">
        <v>160</v>
      </c>
      <c r="W45" s="113">
        <f t="shared" si="12"/>
        <v>60</v>
      </c>
      <c r="AA45" s="75" t="s">
        <v>108</v>
      </c>
      <c r="AB45" s="44">
        <v>910.11</v>
      </c>
    </row>
    <row r="46" spans="1:28" ht="15">
      <c r="A46" s="15" t="e">
        <f t="shared" si="8"/>
        <v>#REF!</v>
      </c>
      <c r="B46" s="15" t="s">
        <v>220</v>
      </c>
      <c r="C46" s="16">
        <v>2021</v>
      </c>
      <c r="D46" s="75" t="s">
        <v>23</v>
      </c>
      <c r="E46" s="16" t="s">
        <v>210</v>
      </c>
      <c r="F46" s="17">
        <v>49</v>
      </c>
      <c r="G46" s="75" t="s">
        <v>103</v>
      </c>
      <c r="H46" s="75" t="s">
        <v>104</v>
      </c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No</v>
      </c>
      <c r="J46" s="37">
        <v>37162</v>
      </c>
      <c r="K46" s="37">
        <v>37162</v>
      </c>
      <c r="L46" s="35">
        <v>0.99</v>
      </c>
      <c r="M46" s="78">
        <f t="shared" si="9"/>
        <v>37537.373737373739</v>
      </c>
      <c r="N46" s="79">
        <f t="shared" si="10"/>
        <v>0.99</v>
      </c>
      <c r="O46" s="80">
        <f t="shared" si="0"/>
        <v>0</v>
      </c>
      <c r="P46" s="19">
        <v>2748.27</v>
      </c>
      <c r="Q46" s="19">
        <v>5050.92</v>
      </c>
      <c r="R46" s="81">
        <f t="shared" si="1"/>
        <v>7799.1900000000005</v>
      </c>
      <c r="S46" s="82">
        <f t="shared" si="11"/>
        <v>1.6650380946375598</v>
      </c>
      <c r="T46" s="83" t="s">
        <v>162</v>
      </c>
      <c r="U46" s="83" t="s">
        <v>166</v>
      </c>
      <c r="V46" s="83" t="s">
        <v>160</v>
      </c>
      <c r="W46" s="113">
        <f t="shared" si="12"/>
        <v>60</v>
      </c>
      <c r="AA46" s="75" t="s">
        <v>104</v>
      </c>
      <c r="AB46" s="44"/>
    </row>
    <row r="47" spans="1:28" ht="15">
      <c r="A47" s="15" t="e">
        <f t="shared" si="8"/>
        <v>#REF!</v>
      </c>
      <c r="B47" s="15" t="s">
        <v>221</v>
      </c>
      <c r="C47" s="16">
        <v>2020</v>
      </c>
      <c r="D47" s="75" t="s">
        <v>17</v>
      </c>
      <c r="E47" s="16" t="s">
        <v>192</v>
      </c>
      <c r="F47" s="17">
        <v>69</v>
      </c>
      <c r="G47" s="75" t="s">
        <v>109</v>
      </c>
      <c r="H47" s="75" t="s">
        <v>104</v>
      </c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Yes</v>
      </c>
      <c r="J47" s="37">
        <v>36500</v>
      </c>
      <c r="K47" s="37">
        <v>35556</v>
      </c>
      <c r="L47" s="35">
        <v>0.99</v>
      </c>
      <c r="M47" s="78">
        <f t="shared" si="9"/>
        <v>36868.686868686869</v>
      </c>
      <c r="N47" s="79">
        <f t="shared" si="10"/>
        <v>0.96439561643835614</v>
      </c>
      <c r="O47" s="80">
        <f t="shared" si="0"/>
        <v>944</v>
      </c>
      <c r="P47" s="19">
        <v>361.78999999999996</v>
      </c>
      <c r="Q47" s="19">
        <v>2614.7199999999998</v>
      </c>
      <c r="R47" s="81">
        <f t="shared" si="1"/>
        <v>2976.5099999999998</v>
      </c>
      <c r="S47" s="82">
        <f t="shared" si="11"/>
        <v>0.44125489366871279</v>
      </c>
      <c r="T47" s="83" t="s">
        <v>161</v>
      </c>
      <c r="U47" s="83" t="s">
        <v>166</v>
      </c>
      <c r="V47" s="83" t="s">
        <v>160</v>
      </c>
      <c r="W47" s="113">
        <f t="shared" si="12"/>
        <v>90</v>
      </c>
      <c r="AA47" s="75" t="s">
        <v>108</v>
      </c>
      <c r="AB47" s="44">
        <v>2000</v>
      </c>
    </row>
    <row r="48" spans="1:28" ht="15">
      <c r="A48" s="15" t="e">
        <f t="shared" si="8"/>
        <v>#REF!</v>
      </c>
      <c r="B48" s="15" t="s">
        <v>222</v>
      </c>
      <c r="C48" s="16">
        <v>2015</v>
      </c>
      <c r="D48" s="75" t="s">
        <v>17</v>
      </c>
      <c r="E48" s="16" t="s">
        <v>187</v>
      </c>
      <c r="F48" s="17">
        <v>40</v>
      </c>
      <c r="G48" s="75" t="s">
        <v>109</v>
      </c>
      <c r="H48" s="75" t="s">
        <v>104</v>
      </c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Yes</v>
      </c>
      <c r="J48" s="37">
        <v>39999</v>
      </c>
      <c r="K48" s="37">
        <v>39190</v>
      </c>
      <c r="L48" s="35">
        <v>1.02</v>
      </c>
      <c r="M48" s="78">
        <f t="shared" si="9"/>
        <v>39214.705882352937</v>
      </c>
      <c r="N48" s="79">
        <f t="shared" si="10"/>
        <v>0.99936998424960632</v>
      </c>
      <c r="O48" s="80">
        <f t="shared" si="0"/>
        <v>809</v>
      </c>
      <c r="P48" s="19">
        <v>5015.13</v>
      </c>
      <c r="Q48" s="19">
        <v>2559.11</v>
      </c>
      <c r="R48" s="81">
        <f t="shared" si="1"/>
        <v>7574.24</v>
      </c>
      <c r="S48" s="82">
        <f t="shared" si="11"/>
        <v>1.9946867391156131</v>
      </c>
      <c r="T48" s="83" t="s">
        <v>164</v>
      </c>
      <c r="U48" s="83" t="s">
        <v>166</v>
      </c>
      <c r="V48" s="83" t="s">
        <v>160</v>
      </c>
      <c r="W48" s="113">
        <f t="shared" si="12"/>
        <v>45</v>
      </c>
      <c r="AA48" s="75" t="s">
        <v>108</v>
      </c>
      <c r="AB48" s="44">
        <v>250</v>
      </c>
    </row>
    <row r="49" spans="1:28" ht="15">
      <c r="A49" s="15" t="e">
        <f t="shared" si="8"/>
        <v>#REF!</v>
      </c>
      <c r="B49" s="15" t="s">
        <v>223</v>
      </c>
      <c r="C49" s="16">
        <v>2011</v>
      </c>
      <c r="D49" s="75" t="s">
        <v>29</v>
      </c>
      <c r="E49" s="16" t="s">
        <v>158</v>
      </c>
      <c r="F49" s="17">
        <v>56</v>
      </c>
      <c r="G49" s="75" t="s">
        <v>110</v>
      </c>
      <c r="H49" s="75" t="s">
        <v>104</v>
      </c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No</v>
      </c>
      <c r="J49" s="37">
        <v>17379</v>
      </c>
      <c r="K49" s="37">
        <v>17379</v>
      </c>
      <c r="L49" s="35">
        <v>1</v>
      </c>
      <c r="M49" s="78">
        <f t="shared" si="9"/>
        <v>17379</v>
      </c>
      <c r="N49" s="79">
        <f t="shared" si="10"/>
        <v>1</v>
      </c>
      <c r="O49" s="80">
        <f t="shared" si="0"/>
        <v>0</v>
      </c>
      <c r="P49" s="19">
        <v>3379</v>
      </c>
      <c r="Q49" s="19">
        <v>1615.49</v>
      </c>
      <c r="R49" s="81">
        <f t="shared" si="1"/>
        <v>4994.49</v>
      </c>
      <c r="S49" s="82">
        <f t="shared" si="11"/>
        <v>2.2933882653061226</v>
      </c>
      <c r="T49" s="83" t="s">
        <v>170</v>
      </c>
      <c r="U49" s="83" t="s">
        <v>159</v>
      </c>
      <c r="V49" s="83" t="s">
        <v>160</v>
      </c>
      <c r="W49" s="113">
        <f t="shared" si="12"/>
        <v>60</v>
      </c>
      <c r="AA49" s="75" t="s">
        <v>104</v>
      </c>
      <c r="AB49" s="44">
        <v>0</v>
      </c>
    </row>
    <row r="50" spans="1:28" ht="15">
      <c r="A50" s="15" t="e">
        <f t="shared" si="8"/>
        <v>#REF!</v>
      </c>
      <c r="B50" s="15" t="s">
        <v>224</v>
      </c>
      <c r="C50" s="16">
        <v>2018</v>
      </c>
      <c r="D50" s="75" t="s">
        <v>43</v>
      </c>
      <c r="E50" s="16" t="s">
        <v>225</v>
      </c>
      <c r="F50" s="17">
        <v>63</v>
      </c>
      <c r="G50" s="75" t="s">
        <v>120</v>
      </c>
      <c r="H50" s="75" t="s">
        <v>104</v>
      </c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No</v>
      </c>
      <c r="J50" s="37">
        <v>28300</v>
      </c>
      <c r="K50" s="37">
        <v>28300</v>
      </c>
      <c r="L50" s="35">
        <v>0.96</v>
      </c>
      <c r="M50" s="78">
        <f t="shared" si="9"/>
        <v>29479.166666666668</v>
      </c>
      <c r="N50" s="79">
        <f t="shared" si="10"/>
        <v>0.96</v>
      </c>
      <c r="O50" s="80">
        <f t="shared" si="0"/>
        <v>0</v>
      </c>
      <c r="P50" s="19">
        <v>3115.13</v>
      </c>
      <c r="Q50" s="19">
        <v>2867</v>
      </c>
      <c r="R50" s="81">
        <f t="shared" si="1"/>
        <v>5982.13</v>
      </c>
      <c r="S50" s="82">
        <f t="shared" si="11"/>
        <v>1.3573069862977256</v>
      </c>
      <c r="T50" s="83" t="s">
        <v>161</v>
      </c>
      <c r="U50" s="83" t="s">
        <v>159</v>
      </c>
      <c r="V50" s="83" t="s">
        <v>160</v>
      </c>
      <c r="W50" s="113">
        <f t="shared" si="12"/>
        <v>90</v>
      </c>
      <c r="AA50" s="75" t="s">
        <v>108</v>
      </c>
      <c r="AB50" s="44">
        <v>1000</v>
      </c>
    </row>
    <row r="51" spans="1:28" ht="15">
      <c r="A51" s="15" t="e">
        <f t="shared" si="8"/>
        <v>#REF!</v>
      </c>
      <c r="B51" s="15" t="s">
        <v>226</v>
      </c>
      <c r="C51" s="16">
        <v>2017</v>
      </c>
      <c r="D51" s="75" t="s">
        <v>23</v>
      </c>
      <c r="E51" s="16" t="s">
        <v>217</v>
      </c>
      <c r="F51" s="17">
        <v>2</v>
      </c>
      <c r="G51" s="75" t="s">
        <v>110</v>
      </c>
      <c r="H51" s="75" t="s">
        <v>104</v>
      </c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No</v>
      </c>
      <c r="J51" s="37">
        <v>38350</v>
      </c>
      <c r="K51" s="37">
        <v>35817.06</v>
      </c>
      <c r="L51" s="35">
        <v>1.02</v>
      </c>
      <c r="M51" s="78">
        <f t="shared" si="9"/>
        <v>37598.039215686273</v>
      </c>
      <c r="N51" s="79">
        <f t="shared" si="10"/>
        <v>0.95263106127770536</v>
      </c>
      <c r="O51" s="80">
        <f t="shared" si="0"/>
        <v>2532.9400000000023</v>
      </c>
      <c r="P51" s="19">
        <v>1867.06</v>
      </c>
      <c r="Q51" s="19">
        <v>2857.17</v>
      </c>
      <c r="R51" s="81">
        <f t="shared" si="1"/>
        <v>4724.2299999999996</v>
      </c>
      <c r="S51" s="82">
        <f t="shared" si="11"/>
        <v>25.047463917525768</v>
      </c>
      <c r="T51" s="83" t="s">
        <v>175</v>
      </c>
      <c r="U51" s="83" t="s">
        <v>166</v>
      </c>
      <c r="V51" s="83" t="s">
        <v>160</v>
      </c>
      <c r="W51" s="113">
        <f t="shared" si="12"/>
        <v>30</v>
      </c>
      <c r="AA51" s="75" t="s">
        <v>108</v>
      </c>
      <c r="AB51" s="44">
        <v>-500</v>
      </c>
    </row>
    <row r="52" spans="1:28" ht="15">
      <c r="A52" s="15" t="e">
        <f t="shared" si="8"/>
        <v>#REF!</v>
      </c>
      <c r="B52" s="15" t="s">
        <v>227</v>
      </c>
      <c r="C52" s="16">
        <v>2018</v>
      </c>
      <c r="D52" s="75" t="s">
        <v>47</v>
      </c>
      <c r="E52" s="16">
        <v>1500</v>
      </c>
      <c r="F52" s="17">
        <v>9</v>
      </c>
      <c r="G52" s="75" t="s">
        <v>110</v>
      </c>
      <c r="H52" s="75" t="s">
        <v>104</v>
      </c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No</v>
      </c>
      <c r="J52" s="37">
        <v>30779</v>
      </c>
      <c r="K52" s="37">
        <v>29000</v>
      </c>
      <c r="L52" s="35">
        <v>1</v>
      </c>
      <c r="M52" s="78">
        <f t="shared" si="9"/>
        <v>30779</v>
      </c>
      <c r="N52" s="79">
        <f t="shared" si="10"/>
        <v>0.94220085122973452</v>
      </c>
      <c r="O52" s="80">
        <f t="shared" si="0"/>
        <v>1779</v>
      </c>
      <c r="P52" s="19">
        <v>4625.63</v>
      </c>
      <c r="Q52" s="19">
        <v>752.46</v>
      </c>
      <c r="R52" s="81">
        <f t="shared" si="1"/>
        <v>5378.09</v>
      </c>
      <c r="S52" s="82">
        <f t="shared" si="11"/>
        <v>8.8258117030306842</v>
      </c>
      <c r="T52" s="83" t="s">
        <v>170</v>
      </c>
      <c r="U52" s="83" t="s">
        <v>159</v>
      </c>
      <c r="V52" s="83" t="s">
        <v>160</v>
      </c>
      <c r="W52" s="113">
        <f t="shared" si="12"/>
        <v>30</v>
      </c>
      <c r="AA52" s="75" t="s">
        <v>108</v>
      </c>
      <c r="AB52" s="44">
        <v>1100</v>
      </c>
    </row>
    <row r="53" spans="1:28" ht="15">
      <c r="A53" s="15" t="e">
        <f t="shared" si="8"/>
        <v>#REF!</v>
      </c>
      <c r="B53" s="15" t="s">
        <v>228</v>
      </c>
      <c r="C53" s="16">
        <v>2008</v>
      </c>
      <c r="D53" s="75" t="s">
        <v>17</v>
      </c>
      <c r="E53" s="16" t="s">
        <v>229</v>
      </c>
      <c r="F53" s="17">
        <v>8</v>
      </c>
      <c r="G53" s="75" t="s">
        <v>110</v>
      </c>
      <c r="H53" s="75" t="s">
        <v>104</v>
      </c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Yes</v>
      </c>
      <c r="J53" s="37">
        <v>13850</v>
      </c>
      <c r="K53" s="37">
        <v>14999</v>
      </c>
      <c r="L53" s="35">
        <v>1.1000000000000001</v>
      </c>
      <c r="M53" s="78">
        <f t="shared" si="9"/>
        <v>12590.90909090909</v>
      </c>
      <c r="N53" s="79">
        <f t="shared" si="10"/>
        <v>1.1912563176895308</v>
      </c>
      <c r="O53" s="80">
        <f t="shared" si="0"/>
        <v>-1149</v>
      </c>
      <c r="P53" s="19">
        <v>7198.56</v>
      </c>
      <c r="Q53" s="19">
        <v>789</v>
      </c>
      <c r="R53" s="81">
        <f t="shared" si="1"/>
        <v>7987.56</v>
      </c>
      <c r="S53" s="82">
        <f t="shared" si="11"/>
        <v>46.079477567932074</v>
      </c>
      <c r="T53" s="83" t="s">
        <v>164</v>
      </c>
      <c r="U53" s="83" t="s">
        <v>159</v>
      </c>
      <c r="V53" s="83" t="s">
        <v>160</v>
      </c>
      <c r="W53" s="113">
        <f t="shared" si="12"/>
        <v>30</v>
      </c>
      <c r="AA53" s="75" t="s">
        <v>104</v>
      </c>
      <c r="AB53" s="44"/>
    </row>
    <row r="54" spans="1:28" ht="15">
      <c r="A54" s="15" t="e">
        <f t="shared" si="8"/>
        <v>#REF!</v>
      </c>
      <c r="B54" s="15" t="s">
        <v>230</v>
      </c>
      <c r="C54" s="16">
        <v>2018</v>
      </c>
      <c r="D54" s="75" t="s">
        <v>23</v>
      </c>
      <c r="E54" s="16" t="s">
        <v>231</v>
      </c>
      <c r="F54" s="17">
        <v>25</v>
      </c>
      <c r="G54" s="75" t="s">
        <v>110</v>
      </c>
      <c r="H54" s="75" t="s">
        <v>104</v>
      </c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No</v>
      </c>
      <c r="J54" s="37">
        <v>20436</v>
      </c>
      <c r="K54" s="37">
        <v>20436</v>
      </c>
      <c r="L54" s="35">
        <v>1.06</v>
      </c>
      <c r="M54" s="78">
        <f t="shared" si="9"/>
        <v>19279.245283018867</v>
      </c>
      <c r="N54" s="79">
        <f t="shared" si="10"/>
        <v>1.06</v>
      </c>
      <c r="O54" s="80">
        <f t="shared" si="0"/>
        <v>0</v>
      </c>
      <c r="P54" s="19">
        <v>2171.06</v>
      </c>
      <c r="Q54" s="19" t="s">
        <v>232</v>
      </c>
      <c r="R54" s="81">
        <f t="shared" si="1"/>
        <v>2171.06</v>
      </c>
      <c r="S54" s="82">
        <f t="shared" si="11"/>
        <v>1.7116543498089785</v>
      </c>
      <c r="T54" s="83" t="s">
        <v>170</v>
      </c>
      <c r="U54" s="83" t="s">
        <v>159</v>
      </c>
      <c r="V54" s="83" t="s">
        <v>160</v>
      </c>
      <c r="W54" s="113">
        <f t="shared" si="12"/>
        <v>30</v>
      </c>
      <c r="AA54" s="75" t="s">
        <v>108</v>
      </c>
      <c r="AB54" s="44">
        <v>-22.08</v>
      </c>
    </row>
    <row r="55" spans="1:28" ht="15">
      <c r="A55" s="15" t="e">
        <f t="shared" si="8"/>
        <v>#REF!</v>
      </c>
      <c r="B55" s="15" t="s">
        <v>233</v>
      </c>
      <c r="C55" s="16">
        <v>2014</v>
      </c>
      <c r="D55" s="75" t="s">
        <v>43</v>
      </c>
      <c r="E55" s="16" t="s">
        <v>234</v>
      </c>
      <c r="F55" s="17">
        <v>7</v>
      </c>
      <c r="G55" s="75" t="s">
        <v>110</v>
      </c>
      <c r="H55" s="75" t="s">
        <v>104</v>
      </c>
      <c r="I55" s="76"/>
      <c r="J55" s="37">
        <v>21900</v>
      </c>
      <c r="K55" s="37">
        <v>21900</v>
      </c>
      <c r="L55" s="35">
        <v>0.93</v>
      </c>
      <c r="M55" s="78">
        <f t="shared" si="9"/>
        <v>23548.387096774193</v>
      </c>
      <c r="N55" s="79">
        <f t="shared" si="10"/>
        <v>0.93</v>
      </c>
      <c r="O55" s="80">
        <f t="shared" si="0"/>
        <v>0</v>
      </c>
      <c r="P55" s="19">
        <v>4259.12</v>
      </c>
      <c r="Q55" s="19">
        <v>4124.4799999999996</v>
      </c>
      <c r="R55" s="81">
        <f t="shared" si="1"/>
        <v>8383.5999999999985</v>
      </c>
      <c r="S55" s="82">
        <f t="shared" si="11"/>
        <v>24.440763240188208</v>
      </c>
      <c r="T55" s="83" t="s">
        <v>163</v>
      </c>
      <c r="U55" s="83" t="s">
        <v>166</v>
      </c>
      <c r="V55" s="83" t="s">
        <v>160</v>
      </c>
      <c r="W55" s="113">
        <f t="shared" si="12"/>
        <v>30</v>
      </c>
      <c r="AA55" s="75" t="s">
        <v>104</v>
      </c>
      <c r="AB55" s="44"/>
    </row>
    <row r="56" spans="1:28" ht="15">
      <c r="A56" s="15" t="e">
        <f t="shared" si="8"/>
        <v>#REF!</v>
      </c>
      <c r="B56" s="15" t="s">
        <v>235</v>
      </c>
      <c r="C56" s="16">
        <v>2013</v>
      </c>
      <c r="D56" s="75" t="s">
        <v>43</v>
      </c>
      <c r="E56" s="16" t="s">
        <v>190</v>
      </c>
      <c r="F56" s="17">
        <v>15</v>
      </c>
      <c r="G56" s="75" t="s">
        <v>120</v>
      </c>
      <c r="H56" s="75" t="s">
        <v>104</v>
      </c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No</v>
      </c>
      <c r="J56" s="37">
        <v>9319</v>
      </c>
      <c r="K56" s="37">
        <v>9319</v>
      </c>
      <c r="L56" s="35">
        <v>1.03</v>
      </c>
      <c r="M56" s="78">
        <f t="shared" si="9"/>
        <v>9047.5728155339802</v>
      </c>
      <c r="N56" s="79">
        <f t="shared" si="10"/>
        <v>1.03</v>
      </c>
      <c r="O56" s="80">
        <f t="shared" si="0"/>
        <v>0</v>
      </c>
      <c r="P56" s="19">
        <v>4058.18</v>
      </c>
      <c r="Q56" s="19">
        <v>789</v>
      </c>
      <c r="R56" s="81">
        <f t="shared" si="1"/>
        <v>4847.18</v>
      </c>
      <c r="S56" s="82">
        <f t="shared" si="11"/>
        <v>22.112963378332658</v>
      </c>
      <c r="T56" s="83" t="s">
        <v>163</v>
      </c>
      <c r="U56" s="83" t="s">
        <v>159</v>
      </c>
      <c r="V56" s="83" t="s">
        <v>160</v>
      </c>
      <c r="W56" s="113">
        <f t="shared" si="12"/>
        <v>30</v>
      </c>
      <c r="AA56" s="75" t="s">
        <v>108</v>
      </c>
      <c r="AB56" s="44">
        <v>450</v>
      </c>
    </row>
    <row r="57" spans="1:28" ht="15">
      <c r="A57" s="15" t="e">
        <f t="shared" si="8"/>
        <v>#REF!</v>
      </c>
      <c r="B57" s="15" t="s">
        <v>236</v>
      </c>
      <c r="C57" s="16">
        <v>2021</v>
      </c>
      <c r="D57" s="75" t="s">
        <v>52</v>
      </c>
      <c r="E57" s="16" t="s">
        <v>237</v>
      </c>
      <c r="F57" s="17">
        <v>12</v>
      </c>
      <c r="G57" s="75" t="s">
        <v>120</v>
      </c>
      <c r="H57" s="75" t="s">
        <v>104</v>
      </c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No</v>
      </c>
      <c r="J57" s="37">
        <v>30600</v>
      </c>
      <c r="K57" s="37">
        <v>30600</v>
      </c>
      <c r="L57" s="35">
        <v>0.97</v>
      </c>
      <c r="M57" s="78">
        <f t="shared" si="9"/>
        <v>31546.391752577321</v>
      </c>
      <c r="N57" s="79">
        <f t="shared" si="10"/>
        <v>0.97</v>
      </c>
      <c r="O57" s="80">
        <f t="shared" si="0"/>
        <v>0</v>
      </c>
      <c r="P57" s="19">
        <v>3273.58</v>
      </c>
      <c r="Q57" s="19">
        <v>3558.92</v>
      </c>
      <c r="R57" s="81">
        <f t="shared" si="1"/>
        <v>6832.5</v>
      </c>
      <c r="S57" s="82">
        <f t="shared" si="11"/>
        <v>7.5009825655903706</v>
      </c>
      <c r="T57" s="83" t="s">
        <v>165</v>
      </c>
      <c r="U57" s="83" t="s">
        <v>159</v>
      </c>
      <c r="V57" s="83" t="s">
        <v>160</v>
      </c>
      <c r="W57" s="113">
        <f t="shared" si="12"/>
        <v>30</v>
      </c>
      <c r="AA57" s="75" t="s">
        <v>108</v>
      </c>
      <c r="AB57" s="44">
        <v>2000</v>
      </c>
    </row>
    <row r="58" spans="1:28" ht="15">
      <c r="A58" s="15" t="e">
        <f t="shared" si="8"/>
        <v>#REF!</v>
      </c>
      <c r="B58" s="15" t="s">
        <v>238</v>
      </c>
      <c r="C58" s="16">
        <v>2020</v>
      </c>
      <c r="D58" s="75" t="s">
        <v>29</v>
      </c>
      <c r="E58" s="16" t="s">
        <v>158</v>
      </c>
      <c r="F58" s="17">
        <v>12</v>
      </c>
      <c r="G58" s="75" t="s">
        <v>120</v>
      </c>
      <c r="H58" s="75" t="s">
        <v>104</v>
      </c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No</v>
      </c>
      <c r="J58" s="37">
        <v>33000</v>
      </c>
      <c r="K58" s="37">
        <v>33000</v>
      </c>
      <c r="L58" s="35">
        <v>1.01</v>
      </c>
      <c r="M58" s="78">
        <f t="shared" si="9"/>
        <v>32673.267326732672</v>
      </c>
      <c r="N58" s="79">
        <f t="shared" si="10"/>
        <v>1.01</v>
      </c>
      <c r="O58" s="80">
        <f t="shared" si="0"/>
        <v>0</v>
      </c>
      <c r="P58" s="19">
        <v>4449.32</v>
      </c>
      <c r="Q58" s="19">
        <v>3087.43</v>
      </c>
      <c r="R58" s="81">
        <f t="shared" si="1"/>
        <v>7536.75</v>
      </c>
      <c r="S58" s="82">
        <f t="shared" si="11"/>
        <v>7.9193385236358633</v>
      </c>
      <c r="T58" s="83" t="s">
        <v>163</v>
      </c>
      <c r="U58" s="83" t="s">
        <v>159</v>
      </c>
      <c r="V58" s="83" t="s">
        <v>160</v>
      </c>
      <c r="W58" s="113">
        <f t="shared" si="12"/>
        <v>30</v>
      </c>
      <c r="AA58" s="75" t="s">
        <v>108</v>
      </c>
      <c r="AB58" s="44">
        <v>1000</v>
      </c>
    </row>
    <row r="59" spans="1:28" ht="15">
      <c r="A59" s="15" t="e">
        <f t="shared" si="8"/>
        <v>#REF!</v>
      </c>
      <c r="B59" s="15" t="s">
        <v>239</v>
      </c>
      <c r="C59" s="16">
        <v>2019</v>
      </c>
      <c r="D59" s="75" t="s">
        <v>19</v>
      </c>
      <c r="E59" s="16" t="s">
        <v>240</v>
      </c>
      <c r="F59" s="17">
        <v>1</v>
      </c>
      <c r="G59" s="75" t="s">
        <v>112</v>
      </c>
      <c r="H59" s="75" t="s">
        <v>104</v>
      </c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No</v>
      </c>
      <c r="J59" s="37">
        <v>24139</v>
      </c>
      <c r="K59" s="37">
        <v>24139</v>
      </c>
      <c r="L59" s="35">
        <v>1</v>
      </c>
      <c r="M59" s="78">
        <f t="shared" si="9"/>
        <v>24139</v>
      </c>
      <c r="N59" s="79">
        <f t="shared" si="10"/>
        <v>1</v>
      </c>
      <c r="O59" s="80">
        <f t="shared" si="0"/>
        <v>0</v>
      </c>
      <c r="P59" s="19">
        <v>7889</v>
      </c>
      <c r="Q59" s="19">
        <v>1982.65</v>
      </c>
      <c r="R59" s="81">
        <f t="shared" si="1"/>
        <v>9871.65</v>
      </c>
      <c r="S59" s="82">
        <f t="shared" si="11"/>
        <v>218.69501538461537</v>
      </c>
      <c r="T59" s="83" t="s">
        <v>163</v>
      </c>
      <c r="U59" s="83" t="s">
        <v>159</v>
      </c>
      <c r="V59" s="83" t="s">
        <v>160</v>
      </c>
      <c r="W59" s="113">
        <f t="shared" si="12"/>
        <v>30</v>
      </c>
      <c r="AA59" s="75" t="s">
        <v>108</v>
      </c>
      <c r="AB59" s="44">
        <v>0</v>
      </c>
    </row>
    <row r="60" spans="1:28" ht="15">
      <c r="A60" s="15" t="e">
        <f t="shared" si="8"/>
        <v>#REF!</v>
      </c>
      <c r="B60" s="15" t="s">
        <v>241</v>
      </c>
      <c r="C60" s="16">
        <v>2014</v>
      </c>
      <c r="D60" s="75" t="s">
        <v>23</v>
      </c>
      <c r="E60" s="16" t="s">
        <v>217</v>
      </c>
      <c r="F60" s="17">
        <v>9</v>
      </c>
      <c r="G60" s="75" t="s">
        <v>103</v>
      </c>
      <c r="H60" s="75" t="s">
        <v>104</v>
      </c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No</v>
      </c>
      <c r="J60" s="37">
        <v>25791</v>
      </c>
      <c r="K60" s="37">
        <v>25791</v>
      </c>
      <c r="L60" s="35">
        <v>1.03</v>
      </c>
      <c r="M60" s="78">
        <f t="shared" si="9"/>
        <v>25039.805825242718</v>
      </c>
      <c r="N60" s="79">
        <f t="shared" si="10"/>
        <v>1.03</v>
      </c>
      <c r="O60" s="80">
        <f t="shared" si="0"/>
        <v>0</v>
      </c>
      <c r="P60" s="19">
        <v>5268.62</v>
      </c>
      <c r="Q60" s="19">
        <v>1794.12</v>
      </c>
      <c r="R60" s="81">
        <f t="shared" si="1"/>
        <v>7062.74</v>
      </c>
      <c r="S60" s="82">
        <f t="shared" si="11"/>
        <v>13.765927733527981</v>
      </c>
      <c r="T60" s="83" t="s">
        <v>161</v>
      </c>
      <c r="U60" s="83" t="s">
        <v>166</v>
      </c>
      <c r="V60" s="83" t="s">
        <v>160</v>
      </c>
      <c r="W60" s="113">
        <f t="shared" si="12"/>
        <v>30</v>
      </c>
      <c r="AA60" s="75" t="s">
        <v>108</v>
      </c>
      <c r="AB60" s="44">
        <v>-500</v>
      </c>
    </row>
    <row r="61" spans="1:28" ht="15">
      <c r="A61" s="15" t="e">
        <f t="shared" si="8"/>
        <v>#REF!</v>
      </c>
      <c r="B61" s="15" t="s">
        <v>242</v>
      </c>
      <c r="C61" s="16">
        <v>2018</v>
      </c>
      <c r="D61" s="75" t="s">
        <v>23</v>
      </c>
      <c r="E61" s="16" t="s">
        <v>231</v>
      </c>
      <c r="F61" s="17">
        <v>25</v>
      </c>
      <c r="G61" s="75" t="s">
        <v>110</v>
      </c>
      <c r="H61" s="75" t="s">
        <v>104</v>
      </c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No</v>
      </c>
      <c r="J61" s="37">
        <v>20436</v>
      </c>
      <c r="K61" s="37">
        <v>20436</v>
      </c>
      <c r="L61" s="35">
        <v>0.99</v>
      </c>
      <c r="M61" s="78">
        <f t="shared" si="9"/>
        <v>20642.424242424244</v>
      </c>
      <c r="N61" s="79">
        <f t="shared" si="10"/>
        <v>0.98999999999999988</v>
      </c>
      <c r="O61" s="80">
        <f t="shared" si="0"/>
        <v>0</v>
      </c>
      <c r="P61" s="19">
        <v>2171.06</v>
      </c>
      <c r="Q61" s="19">
        <v>6030.8</v>
      </c>
      <c r="R61" s="81">
        <f t="shared" si="1"/>
        <v>8201.86</v>
      </c>
      <c r="S61" s="82">
        <f t="shared" si="11"/>
        <v>6.4663110856099184</v>
      </c>
      <c r="T61" s="83" t="s">
        <v>170</v>
      </c>
      <c r="U61" s="83" t="s">
        <v>159</v>
      </c>
      <c r="V61" s="83" t="s">
        <v>160</v>
      </c>
      <c r="W61" s="113">
        <f t="shared" si="12"/>
        <v>30</v>
      </c>
      <c r="AA61" s="75" t="s">
        <v>108</v>
      </c>
      <c r="AB61" s="44">
        <v>-22.08</v>
      </c>
    </row>
    <row r="62" spans="1:28" ht="15">
      <c r="A62" s="15" t="e">
        <f t="shared" si="8"/>
        <v>#REF!</v>
      </c>
      <c r="B62" s="15" t="s">
        <v>233</v>
      </c>
      <c r="C62" s="16">
        <v>2014</v>
      </c>
      <c r="D62" s="75" t="s">
        <v>43</v>
      </c>
      <c r="E62" s="16" t="s">
        <v>234</v>
      </c>
      <c r="F62" s="17">
        <v>7</v>
      </c>
      <c r="G62" s="75" t="s">
        <v>120</v>
      </c>
      <c r="H62" s="75" t="s">
        <v>104</v>
      </c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No</v>
      </c>
      <c r="J62" s="37">
        <v>22250</v>
      </c>
      <c r="K62" s="37">
        <v>21900</v>
      </c>
      <c r="L62" s="35">
        <v>0.99</v>
      </c>
      <c r="M62" s="78">
        <f t="shared" si="9"/>
        <v>22474.747474747473</v>
      </c>
      <c r="N62" s="79">
        <f t="shared" si="10"/>
        <v>0.97442696629213488</v>
      </c>
      <c r="O62" s="80">
        <f t="shared" si="0"/>
        <v>350</v>
      </c>
      <c r="P62" s="19">
        <v>4259.12</v>
      </c>
      <c r="Q62" s="19">
        <v>4124.4799999999996</v>
      </c>
      <c r="R62" s="81">
        <f t="shared" si="1"/>
        <v>8383.5999999999985</v>
      </c>
      <c r="S62" s="82">
        <f t="shared" si="11"/>
        <v>24.440763240188208</v>
      </c>
      <c r="T62" s="83" t="s">
        <v>163</v>
      </c>
      <c r="U62" s="83" t="s">
        <v>166</v>
      </c>
      <c r="V62" s="83" t="s">
        <v>160</v>
      </c>
      <c r="W62" s="113">
        <f t="shared" si="12"/>
        <v>30</v>
      </c>
      <c r="AA62" s="75" t="s">
        <v>104</v>
      </c>
      <c r="AB62" s="44"/>
    </row>
    <row r="63" spans="1:28" ht="15">
      <c r="A63" s="15" t="e">
        <f t="shared" si="8"/>
        <v>#REF!</v>
      </c>
      <c r="B63" s="15" t="s">
        <v>235</v>
      </c>
      <c r="C63" s="16">
        <v>2013</v>
      </c>
      <c r="D63" s="75" t="s">
        <v>43</v>
      </c>
      <c r="E63" s="16" t="s">
        <v>190</v>
      </c>
      <c r="F63" s="17">
        <v>15</v>
      </c>
      <c r="G63" s="75" t="s">
        <v>120</v>
      </c>
      <c r="H63" s="75" t="s">
        <v>104</v>
      </c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No</v>
      </c>
      <c r="J63" s="37">
        <v>9999</v>
      </c>
      <c r="K63" s="37">
        <v>9319</v>
      </c>
      <c r="L63" s="35">
        <v>1.05</v>
      </c>
      <c r="M63" s="78">
        <f t="shared" si="9"/>
        <v>9522.8571428571431</v>
      </c>
      <c r="N63" s="79">
        <f t="shared" si="10"/>
        <v>0.97859285928592854</v>
      </c>
      <c r="O63" s="80">
        <f t="shared" si="0"/>
        <v>680</v>
      </c>
      <c r="P63" s="19">
        <v>4058.18</v>
      </c>
      <c r="Q63" s="19">
        <v>789</v>
      </c>
      <c r="R63" s="81">
        <f t="shared" si="1"/>
        <v>4847.18</v>
      </c>
      <c r="S63" s="82">
        <f t="shared" si="11"/>
        <v>22.112963378332658</v>
      </c>
      <c r="T63" s="83" t="s">
        <v>161</v>
      </c>
      <c r="U63" s="83" t="s">
        <v>159</v>
      </c>
      <c r="V63" s="83" t="s">
        <v>160</v>
      </c>
      <c r="W63" s="113">
        <f t="shared" si="12"/>
        <v>30</v>
      </c>
      <c r="AA63" s="75" t="s">
        <v>108</v>
      </c>
      <c r="AB63" s="44">
        <v>450</v>
      </c>
    </row>
    <row r="64" spans="1:28" ht="15">
      <c r="A64" s="15" t="e">
        <f t="shared" si="8"/>
        <v>#REF!</v>
      </c>
      <c r="B64" s="15" t="s">
        <v>236</v>
      </c>
      <c r="C64" s="16">
        <v>2021</v>
      </c>
      <c r="D64" s="75" t="s">
        <v>52</v>
      </c>
      <c r="E64" s="16" t="s">
        <v>237</v>
      </c>
      <c r="F64" s="17">
        <v>12</v>
      </c>
      <c r="G64" s="75" t="s">
        <v>120</v>
      </c>
      <c r="H64" s="75" t="s">
        <v>104</v>
      </c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No</v>
      </c>
      <c r="J64" s="37">
        <v>30600</v>
      </c>
      <c r="K64" s="37">
        <v>30600</v>
      </c>
      <c r="L64" s="35">
        <v>1</v>
      </c>
      <c r="M64" s="78">
        <f t="shared" si="9"/>
        <v>30600</v>
      </c>
      <c r="N64" s="79">
        <f t="shared" si="10"/>
        <v>1</v>
      </c>
      <c r="O64" s="80">
        <f t="shared" si="0"/>
        <v>0</v>
      </c>
      <c r="P64" s="19">
        <v>3273.58</v>
      </c>
      <c r="Q64" s="19">
        <v>3558.92</v>
      </c>
      <c r="R64" s="81">
        <f t="shared" si="1"/>
        <v>6832.5</v>
      </c>
      <c r="S64" s="82">
        <f t="shared" si="11"/>
        <v>7.5009825655903706</v>
      </c>
      <c r="T64" s="83" t="s">
        <v>175</v>
      </c>
      <c r="U64" s="83" t="s">
        <v>166</v>
      </c>
      <c r="V64" s="83" t="s">
        <v>160</v>
      </c>
      <c r="W64" s="113">
        <f t="shared" si="12"/>
        <v>30</v>
      </c>
      <c r="AA64" s="75" t="s">
        <v>108</v>
      </c>
      <c r="AB64" s="44">
        <v>2000</v>
      </c>
    </row>
    <row r="65" spans="1:28" ht="15">
      <c r="A65" s="15" t="e">
        <f t="shared" si="8"/>
        <v>#REF!</v>
      </c>
      <c r="B65" s="15" t="s">
        <v>238</v>
      </c>
      <c r="C65" s="16">
        <v>2020</v>
      </c>
      <c r="D65" s="75" t="s">
        <v>29</v>
      </c>
      <c r="E65" s="16" t="s">
        <v>158</v>
      </c>
      <c r="F65" s="17">
        <v>12</v>
      </c>
      <c r="G65" s="75" t="s">
        <v>120</v>
      </c>
      <c r="H65" s="75" t="s">
        <v>104</v>
      </c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No</v>
      </c>
      <c r="J65" s="37">
        <v>33750</v>
      </c>
      <c r="K65" s="37">
        <v>33000</v>
      </c>
      <c r="L65" s="35">
        <v>0.98</v>
      </c>
      <c r="M65" s="78">
        <f t="shared" si="9"/>
        <v>34438.775510204083</v>
      </c>
      <c r="N65" s="79">
        <f t="shared" si="10"/>
        <v>0.9582222222222222</v>
      </c>
      <c r="O65" s="80">
        <f t="shared" si="0"/>
        <v>750</v>
      </c>
      <c r="P65" s="19">
        <v>4449.32</v>
      </c>
      <c r="Q65" s="19">
        <v>3087.43</v>
      </c>
      <c r="R65" s="81">
        <f t="shared" si="1"/>
        <v>7536.75</v>
      </c>
      <c r="S65" s="82">
        <f t="shared" si="11"/>
        <v>7.9193385236358633</v>
      </c>
      <c r="T65" s="83" t="s">
        <v>163</v>
      </c>
      <c r="U65" s="83" t="s">
        <v>159</v>
      </c>
      <c r="V65" s="83" t="s">
        <v>160</v>
      </c>
      <c r="W65" s="113">
        <f t="shared" si="12"/>
        <v>30</v>
      </c>
      <c r="AA65" s="75" t="s">
        <v>108</v>
      </c>
      <c r="AB65" s="44">
        <v>1000</v>
      </c>
    </row>
    <row r="66" spans="1:28" ht="15">
      <c r="A66" s="15" t="e">
        <f t="shared" si="8"/>
        <v>#REF!</v>
      </c>
      <c r="B66" s="15" t="s">
        <v>239</v>
      </c>
      <c r="C66" s="16">
        <v>2019</v>
      </c>
      <c r="D66" s="75" t="s">
        <v>19</v>
      </c>
      <c r="E66" s="16" t="s">
        <v>240</v>
      </c>
      <c r="F66" s="17">
        <v>1</v>
      </c>
      <c r="G66" s="75" t="s">
        <v>112</v>
      </c>
      <c r="H66" s="75" t="s">
        <v>104</v>
      </c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No</v>
      </c>
      <c r="J66" s="37">
        <v>24139</v>
      </c>
      <c r="K66" s="37">
        <v>24139</v>
      </c>
      <c r="L66" s="35">
        <v>1</v>
      </c>
      <c r="M66" s="78">
        <f t="shared" si="9"/>
        <v>24139</v>
      </c>
      <c r="N66" s="79">
        <f t="shared" si="10"/>
        <v>1</v>
      </c>
      <c r="O66" s="80">
        <f t="shared" si="0"/>
        <v>0</v>
      </c>
      <c r="P66" s="19">
        <v>7889</v>
      </c>
      <c r="Q66" s="19">
        <v>1982.65</v>
      </c>
      <c r="R66" s="81">
        <f t="shared" si="1"/>
        <v>9871.65</v>
      </c>
      <c r="S66" s="82">
        <f t="shared" si="11"/>
        <v>218.69501538461537</v>
      </c>
      <c r="T66" s="83" t="s">
        <v>163</v>
      </c>
      <c r="U66" s="83" t="s">
        <v>159</v>
      </c>
      <c r="V66" s="83" t="s">
        <v>160</v>
      </c>
      <c r="W66" s="113">
        <f t="shared" si="12"/>
        <v>30</v>
      </c>
      <c r="AA66" s="75" t="s">
        <v>108</v>
      </c>
      <c r="AB66" s="44"/>
    </row>
    <row r="67" spans="1:28" ht="15">
      <c r="A67" s="15" t="e">
        <f t="shared" si="8"/>
        <v>#REF!</v>
      </c>
      <c r="B67" s="15" t="s">
        <v>241</v>
      </c>
      <c r="C67" s="16">
        <v>2014</v>
      </c>
      <c r="D67" s="75" t="s">
        <v>23</v>
      </c>
      <c r="E67" s="16" t="s">
        <v>217</v>
      </c>
      <c r="F67" s="17">
        <v>9</v>
      </c>
      <c r="G67" s="75" t="s">
        <v>103</v>
      </c>
      <c r="H67" s="75" t="s">
        <v>104</v>
      </c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No</v>
      </c>
      <c r="J67" s="37">
        <v>25791</v>
      </c>
      <c r="K67" s="37">
        <v>25791</v>
      </c>
      <c r="L67" s="35">
        <v>1</v>
      </c>
      <c r="M67" s="78">
        <f t="shared" si="9"/>
        <v>25791</v>
      </c>
      <c r="N67" s="79">
        <f t="shared" si="10"/>
        <v>1</v>
      </c>
      <c r="O67" s="80">
        <f t="shared" si="0"/>
        <v>0</v>
      </c>
      <c r="P67" s="19">
        <v>5268.62</v>
      </c>
      <c r="Q67" s="19">
        <v>1794.12</v>
      </c>
      <c r="R67" s="81">
        <f t="shared" si="1"/>
        <v>7062.74</v>
      </c>
      <c r="S67" s="82">
        <f t="shared" si="11"/>
        <v>13.765927733527981</v>
      </c>
      <c r="T67" s="83" t="s">
        <v>161</v>
      </c>
      <c r="U67" s="83" t="s">
        <v>166</v>
      </c>
      <c r="V67" s="83" t="s">
        <v>160</v>
      </c>
      <c r="W67" s="113">
        <f t="shared" si="12"/>
        <v>30</v>
      </c>
      <c r="AA67" s="75" t="s">
        <v>108</v>
      </c>
      <c r="AB67" s="44">
        <v>-500</v>
      </c>
    </row>
    <row r="68" spans="1:28" ht="15">
      <c r="A68" s="15" t="e">
        <f t="shared" si="8"/>
        <v>#REF!</v>
      </c>
      <c r="B68" s="15" t="s">
        <v>243</v>
      </c>
      <c r="C68" s="16">
        <v>2019</v>
      </c>
      <c r="D68" s="75" t="s">
        <v>17</v>
      </c>
      <c r="E68" s="16" t="s">
        <v>187</v>
      </c>
      <c r="F68" s="17">
        <v>42</v>
      </c>
      <c r="G68" s="75" t="s">
        <v>109</v>
      </c>
      <c r="H68" s="75" t="s">
        <v>104</v>
      </c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Yes</v>
      </c>
      <c r="J68" s="37">
        <v>48999</v>
      </c>
      <c r="K68" s="37">
        <v>47513</v>
      </c>
      <c r="L68" s="35">
        <v>0.98</v>
      </c>
      <c r="M68" s="78">
        <f t="shared" si="9"/>
        <v>49998.979591836738</v>
      </c>
      <c r="N68" s="79">
        <f t="shared" si="10"/>
        <v>0.95027939345700929</v>
      </c>
      <c r="O68" s="80">
        <f t="shared" si="0"/>
        <v>1486</v>
      </c>
      <c r="P68" s="19">
        <v>2040.13</v>
      </c>
      <c r="Q68" s="19">
        <v>2946.02</v>
      </c>
      <c r="R68" s="81">
        <f t="shared" si="1"/>
        <v>4986.1499999999996</v>
      </c>
      <c r="S68" s="82">
        <f t="shared" si="11"/>
        <v>0.93986653077821047</v>
      </c>
      <c r="T68" s="83" t="s">
        <v>175</v>
      </c>
      <c r="U68" s="83" t="s">
        <v>166</v>
      </c>
      <c r="V68" s="83" t="s">
        <v>160</v>
      </c>
      <c r="W68" s="113">
        <f t="shared" si="12"/>
        <v>45</v>
      </c>
      <c r="AA68" s="75" t="s">
        <v>108</v>
      </c>
      <c r="AB68" s="44">
        <v>700</v>
      </c>
    </row>
    <row r="69" spans="1:28" ht="15">
      <c r="A69" s="15" t="e">
        <f t="shared" si="8"/>
        <v>#REF!</v>
      </c>
      <c r="B69" s="15" t="s">
        <v>244</v>
      </c>
      <c r="C69" s="16">
        <v>2016</v>
      </c>
      <c r="D69" s="75" t="s">
        <v>15</v>
      </c>
      <c r="E69" s="16" t="s">
        <v>245</v>
      </c>
      <c r="F69" s="17">
        <v>28</v>
      </c>
      <c r="G69" s="75" t="s">
        <v>120</v>
      </c>
      <c r="H69" s="75" t="s">
        <v>104</v>
      </c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No</v>
      </c>
      <c r="J69" s="37">
        <v>17999</v>
      </c>
      <c r="K69" s="37">
        <v>17000</v>
      </c>
      <c r="L69" s="35">
        <v>0.96</v>
      </c>
      <c r="M69" s="78">
        <f t="shared" si="9"/>
        <v>18748.958333333336</v>
      </c>
      <c r="N69" s="79">
        <f t="shared" si="10"/>
        <v>0.9067170398355463</v>
      </c>
      <c r="O69" s="80">
        <f t="shared" si="0"/>
        <v>999</v>
      </c>
      <c r="P69" s="19">
        <v>3924.88</v>
      </c>
      <c r="Q69" s="19">
        <v>1322.59</v>
      </c>
      <c r="R69" s="81">
        <f t="shared" si="1"/>
        <v>5247.47</v>
      </c>
      <c r="S69" s="82">
        <f t="shared" si="11"/>
        <v>5.1599886982736249</v>
      </c>
      <c r="T69" s="83" t="s">
        <v>163</v>
      </c>
      <c r="U69" s="83" t="s">
        <v>166</v>
      </c>
      <c r="V69" s="83" t="s">
        <v>160</v>
      </c>
      <c r="W69" s="113">
        <f t="shared" si="12"/>
        <v>30</v>
      </c>
      <c r="AA69" s="75" t="s">
        <v>104</v>
      </c>
      <c r="AB69" s="44"/>
    </row>
    <row r="70" spans="1:28" ht="15">
      <c r="A70" s="15" t="e">
        <f t="shared" si="8"/>
        <v>#REF!</v>
      </c>
      <c r="B70" s="15" t="s">
        <v>246</v>
      </c>
      <c r="C70" s="16">
        <v>2016</v>
      </c>
      <c r="D70" s="75" t="s">
        <v>29</v>
      </c>
      <c r="E70" s="16" t="s">
        <v>158</v>
      </c>
      <c r="F70" s="17">
        <v>72</v>
      </c>
      <c r="G70" s="75" t="s">
        <v>103</v>
      </c>
      <c r="H70" s="75" t="s">
        <v>104</v>
      </c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No</v>
      </c>
      <c r="J70" s="37">
        <v>26500</v>
      </c>
      <c r="K70" s="37">
        <v>26000</v>
      </c>
      <c r="L70" s="35">
        <v>0.99</v>
      </c>
      <c r="M70" s="78">
        <f t="shared" si="9"/>
        <v>26767.676767676767</v>
      </c>
      <c r="N70" s="79">
        <f t="shared" si="10"/>
        <v>0.97132075471698121</v>
      </c>
      <c r="O70" s="80">
        <f t="shared" si="0"/>
        <v>500</v>
      </c>
      <c r="P70" s="19">
        <v>2571.2799999999997</v>
      </c>
      <c r="Q70" s="19">
        <v>3065.99</v>
      </c>
      <c r="R70" s="81">
        <f t="shared" si="1"/>
        <v>5637.2699999999995</v>
      </c>
      <c r="S70" s="82">
        <f t="shared" si="11"/>
        <v>1.2030682854206289</v>
      </c>
      <c r="T70" s="83" t="s">
        <v>163</v>
      </c>
      <c r="U70" s="83" t="s">
        <v>166</v>
      </c>
      <c r="V70" s="83" t="s">
        <v>160</v>
      </c>
      <c r="W70" s="113">
        <f t="shared" si="12"/>
        <v>90</v>
      </c>
      <c r="AA70" s="75" t="s">
        <v>104</v>
      </c>
      <c r="AB70" s="44">
        <v>600</v>
      </c>
    </row>
    <row r="71" spans="1:28" ht="15">
      <c r="A71" s="15" t="e">
        <f t="shared" si="8"/>
        <v>#REF!</v>
      </c>
      <c r="B71" s="15" t="s">
        <v>247</v>
      </c>
      <c r="C71" s="16">
        <v>2023</v>
      </c>
      <c r="D71" s="75" t="s">
        <v>17</v>
      </c>
      <c r="E71" s="16" t="s">
        <v>248</v>
      </c>
      <c r="F71" s="17">
        <v>74</v>
      </c>
      <c r="G71" s="75" t="s">
        <v>109</v>
      </c>
      <c r="H71" s="75" t="s">
        <v>104</v>
      </c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Yes</v>
      </c>
      <c r="J71" s="37">
        <v>47000</v>
      </c>
      <c r="K71" s="37">
        <v>47000</v>
      </c>
      <c r="L71" s="35">
        <v>0.98</v>
      </c>
      <c r="M71" s="78">
        <f t="shared" si="9"/>
        <v>47959.183673469386</v>
      </c>
      <c r="N71" s="79">
        <f t="shared" si="10"/>
        <v>0.98</v>
      </c>
      <c r="O71" s="80">
        <f t="shared" si="0"/>
        <v>0</v>
      </c>
      <c r="P71" s="19">
        <v>2250</v>
      </c>
      <c r="Q71" s="19">
        <v>950.51</v>
      </c>
      <c r="R71" s="81">
        <f t="shared" si="1"/>
        <v>3200.51</v>
      </c>
      <c r="S71" s="82">
        <f t="shared" si="11"/>
        <v>0.34793404801449496</v>
      </c>
      <c r="T71" s="83" t="s">
        <v>163</v>
      </c>
      <c r="U71" s="83" t="s">
        <v>166</v>
      </c>
      <c r="V71" s="83" t="s">
        <v>160</v>
      </c>
      <c r="W71" s="113">
        <f t="shared" si="12"/>
        <v>90</v>
      </c>
      <c r="AA71" s="75" t="s">
        <v>108</v>
      </c>
      <c r="AB71" s="44">
        <v>500</v>
      </c>
    </row>
    <row r="72" spans="1:28" ht="15">
      <c r="A72" s="15" t="e">
        <f t="shared" si="8"/>
        <v>#REF!</v>
      </c>
      <c r="B72" s="115" t="s">
        <v>249</v>
      </c>
      <c r="C72" s="16">
        <v>2023</v>
      </c>
      <c r="D72" s="75" t="s">
        <v>30</v>
      </c>
      <c r="E72" s="16" t="s">
        <v>250</v>
      </c>
      <c r="F72" s="17">
        <v>30</v>
      </c>
      <c r="G72" s="75" t="s">
        <v>112</v>
      </c>
      <c r="H72" s="75" t="s">
        <v>104</v>
      </c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No</v>
      </c>
      <c r="J72" s="37">
        <v>55000</v>
      </c>
      <c r="K72" s="37">
        <v>55000</v>
      </c>
      <c r="L72" s="35">
        <v>1.02</v>
      </c>
      <c r="M72" s="78">
        <f t="shared" si="9"/>
        <v>53921.568627450979</v>
      </c>
      <c r="N72" s="79">
        <f t="shared" si="10"/>
        <v>1.02</v>
      </c>
      <c r="O72" s="80">
        <f t="shared" si="0"/>
        <v>0</v>
      </c>
      <c r="P72" s="19">
        <v>4500</v>
      </c>
      <c r="Q72" s="19">
        <v>7357.88</v>
      </c>
      <c r="R72" s="81">
        <f t="shared" si="1"/>
        <v>11857.880000000001</v>
      </c>
      <c r="S72" s="82">
        <f t="shared" si="11"/>
        <v>2.8177140594059411</v>
      </c>
      <c r="T72" s="83" t="s">
        <v>163</v>
      </c>
      <c r="U72" s="83" t="s">
        <v>166</v>
      </c>
      <c r="V72" s="83" t="s">
        <v>160</v>
      </c>
      <c r="W72" s="113">
        <f t="shared" si="12"/>
        <v>30</v>
      </c>
      <c r="AA72" s="75" t="s">
        <v>104</v>
      </c>
      <c r="AB72" s="44"/>
    </row>
    <row r="73" spans="1:28" ht="15">
      <c r="A73" s="15" t="e">
        <f t="shared" si="8"/>
        <v>#REF!</v>
      </c>
      <c r="B73" s="15" t="s">
        <v>251</v>
      </c>
      <c r="C73" s="16">
        <v>2019</v>
      </c>
      <c r="D73" s="75" t="s">
        <v>29</v>
      </c>
      <c r="E73" s="16" t="s">
        <v>168</v>
      </c>
      <c r="F73" s="17">
        <v>30</v>
      </c>
      <c r="G73" s="75" t="s">
        <v>120</v>
      </c>
      <c r="H73" s="75" t="s">
        <v>104</v>
      </c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No</v>
      </c>
      <c r="J73" s="37">
        <v>27928</v>
      </c>
      <c r="K73" s="37">
        <v>27928</v>
      </c>
      <c r="L73" s="35">
        <v>1</v>
      </c>
      <c r="M73" s="78">
        <f t="shared" si="9"/>
        <v>27928</v>
      </c>
      <c r="N73" s="79">
        <f t="shared" si="10"/>
        <v>1</v>
      </c>
      <c r="O73" s="80">
        <f t="shared" si="0"/>
        <v>0</v>
      </c>
      <c r="P73" s="19">
        <v>4849.54</v>
      </c>
      <c r="Q73" s="19">
        <v>6717.31</v>
      </c>
      <c r="R73" s="81">
        <f t="shared" si="1"/>
        <v>11566.85</v>
      </c>
      <c r="S73" s="82">
        <f t="shared" si="11"/>
        <v>6.0143614435278625</v>
      </c>
      <c r="T73" s="83" t="s">
        <v>165</v>
      </c>
      <c r="U73" s="83" t="s">
        <v>166</v>
      </c>
      <c r="V73" s="83" t="s">
        <v>160</v>
      </c>
      <c r="W73" s="113">
        <f t="shared" si="12"/>
        <v>30</v>
      </c>
      <c r="AA73" s="75" t="s">
        <v>104</v>
      </c>
      <c r="AB73" s="44"/>
    </row>
    <row r="74" spans="1:28" ht="15">
      <c r="A74" s="15" t="e">
        <f t="shared" si="8"/>
        <v>#REF!</v>
      </c>
      <c r="B74" s="15" t="s">
        <v>252</v>
      </c>
      <c r="C74" s="16">
        <v>2020</v>
      </c>
      <c r="D74" s="75" t="s">
        <v>47</v>
      </c>
      <c r="E74" s="16">
        <v>2500</v>
      </c>
      <c r="F74" s="17">
        <v>6</v>
      </c>
      <c r="G74" s="75" t="s">
        <v>120</v>
      </c>
      <c r="H74" s="75" t="s">
        <v>104</v>
      </c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No</v>
      </c>
      <c r="J74" s="37">
        <v>5981.74</v>
      </c>
      <c r="K74" s="37">
        <v>5981.74</v>
      </c>
      <c r="L74" s="35">
        <v>1</v>
      </c>
      <c r="M74" s="78">
        <f t="shared" si="9"/>
        <v>5981.74</v>
      </c>
      <c r="N74" s="79">
        <f t="shared" si="10"/>
        <v>1</v>
      </c>
      <c r="O74" s="80">
        <f t="shared" si="0"/>
        <v>0</v>
      </c>
      <c r="P74" s="19">
        <v>7331.74</v>
      </c>
      <c r="Q74" s="19">
        <v>6546.51</v>
      </c>
      <c r="R74" s="81">
        <f t="shared" si="1"/>
        <v>13878.25</v>
      </c>
      <c r="S74" s="82">
        <f t="shared" si="11"/>
        <v>-616.81111111111113</v>
      </c>
      <c r="T74" s="83" t="s">
        <v>170</v>
      </c>
      <c r="U74" s="83" t="s">
        <v>159</v>
      </c>
      <c r="V74" s="83" t="s">
        <v>160</v>
      </c>
      <c r="W74" s="113">
        <f t="shared" si="12"/>
        <v>30</v>
      </c>
      <c r="AA74" s="75" t="s">
        <v>108</v>
      </c>
      <c r="AB74" s="44">
        <v>3200</v>
      </c>
    </row>
    <row r="75" spans="1:28" ht="15">
      <c r="A75" s="15" t="e">
        <f t="shared" si="8"/>
        <v>#REF!</v>
      </c>
      <c r="B75" s="15" t="s">
        <v>253</v>
      </c>
      <c r="C75" s="16">
        <v>2015</v>
      </c>
      <c r="D75" s="75" t="s">
        <v>17</v>
      </c>
      <c r="E75" s="16" t="s">
        <v>102</v>
      </c>
      <c r="F75" s="17">
        <v>31</v>
      </c>
      <c r="G75" s="75" t="s">
        <v>103</v>
      </c>
      <c r="H75" s="75" t="s">
        <v>104</v>
      </c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Yes</v>
      </c>
      <c r="J75" s="38">
        <v>12083.41</v>
      </c>
      <c r="K75" s="38">
        <v>12083.41</v>
      </c>
      <c r="L75" s="35">
        <v>1</v>
      </c>
      <c r="M75" s="78">
        <f t="shared" si="9"/>
        <v>12083.41</v>
      </c>
      <c r="N75" s="79">
        <f t="shared" si="10"/>
        <v>1</v>
      </c>
      <c r="O75" s="80">
        <f t="shared" si="0"/>
        <v>0</v>
      </c>
      <c r="P75" s="19">
        <v>2780.06</v>
      </c>
      <c r="Q75" s="19">
        <v>1958.37</v>
      </c>
      <c r="R75" s="81">
        <f t="shared" si="1"/>
        <v>4738.43</v>
      </c>
      <c r="S75" s="82">
        <f t="shared" si="11"/>
        <v>5.914743509838722</v>
      </c>
      <c r="T75" s="83" t="s">
        <v>162</v>
      </c>
      <c r="U75" s="83" t="s">
        <v>166</v>
      </c>
      <c r="V75" s="83" t="s">
        <v>160</v>
      </c>
      <c r="W75" s="113">
        <f t="shared" si="12"/>
        <v>45</v>
      </c>
      <c r="AA75" s="75" t="s">
        <v>104</v>
      </c>
      <c r="AB75" s="44"/>
    </row>
    <row r="76" spans="1:28" ht="15">
      <c r="A76" s="15" t="e">
        <f t="shared" si="8"/>
        <v>#REF!</v>
      </c>
      <c r="B76" s="15" t="s">
        <v>254</v>
      </c>
      <c r="C76" s="16">
        <v>2016</v>
      </c>
      <c r="D76" s="75" t="s">
        <v>23</v>
      </c>
      <c r="E76" s="16" t="s">
        <v>217</v>
      </c>
      <c r="F76" s="17">
        <v>2</v>
      </c>
      <c r="G76" s="75" t="s">
        <v>110</v>
      </c>
      <c r="H76" s="75" t="s">
        <v>104</v>
      </c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No</v>
      </c>
      <c r="J76" s="38">
        <v>34629</v>
      </c>
      <c r="K76" s="38">
        <v>34629</v>
      </c>
      <c r="L76" s="35">
        <v>0.99</v>
      </c>
      <c r="M76" s="78">
        <f t="shared" si="9"/>
        <v>34978.78787878788</v>
      </c>
      <c r="N76" s="79">
        <f t="shared" si="10"/>
        <v>0.99</v>
      </c>
      <c r="O76" s="80">
        <f t="shared" ref="O76:O139" si="13">IF(K76=0,"BLANK",(J76-K76))</f>
        <v>0</v>
      </c>
      <c r="P76" s="19">
        <v>5929</v>
      </c>
      <c r="Q76" s="19">
        <v>3842.08</v>
      </c>
      <c r="R76" s="81">
        <f t="shared" ref="R76:R139" si="14">IF(K76=0,"BLANK",SUM(P76:Q76))</f>
        <v>9771.08</v>
      </c>
      <c r="S76" s="82">
        <f t="shared" si="11"/>
        <v>61.282034843205572</v>
      </c>
      <c r="T76" s="83" t="s">
        <v>162</v>
      </c>
      <c r="U76" s="83" t="s">
        <v>166</v>
      </c>
      <c r="V76" s="83" t="s">
        <v>160</v>
      </c>
      <c r="W76" s="113">
        <f t="shared" ref="W76:W107" si="15">IF(AND(F76&gt;0,F76&lt;=30),30,IF(AND(F76&gt;=31,F76&lt;=45),45,IF(AND(F76&gt;=46,F76&lt;=60),60,IF(AND(F76&gt;=61,F76&lt;=90),90,IF(F76&gt;=91,91,0)))))</f>
        <v>30</v>
      </c>
      <c r="AA76" s="75" t="s">
        <v>104</v>
      </c>
      <c r="AB76" s="44"/>
    </row>
    <row r="77" spans="1:28" ht="15">
      <c r="A77" s="15" t="e">
        <f t="shared" si="8"/>
        <v>#REF!</v>
      </c>
      <c r="B77" s="15" t="s">
        <v>255</v>
      </c>
      <c r="C77" s="16">
        <v>2016</v>
      </c>
      <c r="D77" s="75" t="s">
        <v>37</v>
      </c>
      <c r="E77" s="16" t="s">
        <v>256</v>
      </c>
      <c r="F77" s="17">
        <v>9</v>
      </c>
      <c r="G77" s="75" t="s">
        <v>110</v>
      </c>
      <c r="H77" s="75" t="s">
        <v>104</v>
      </c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No</v>
      </c>
      <c r="J77" s="38">
        <v>16325</v>
      </c>
      <c r="K77" s="38">
        <v>16325</v>
      </c>
      <c r="L77" s="35">
        <v>1</v>
      </c>
      <c r="M77" s="78">
        <f t="shared" si="9"/>
        <v>16325</v>
      </c>
      <c r="N77" s="79">
        <f t="shared" si="10"/>
        <v>1</v>
      </c>
      <c r="O77" s="80">
        <f t="shared" si="13"/>
        <v>0</v>
      </c>
      <c r="P77" s="19">
        <v>4005.78</v>
      </c>
      <c r="Q77" s="19">
        <v>791</v>
      </c>
      <c r="R77" s="81">
        <f t="shared" si="14"/>
        <v>4796.7800000000007</v>
      </c>
      <c r="S77" s="82">
        <f t="shared" si="11"/>
        <v>15.574947115158269</v>
      </c>
      <c r="T77" s="83" t="s">
        <v>161</v>
      </c>
      <c r="U77" s="83" t="s">
        <v>166</v>
      </c>
      <c r="V77" s="83" t="s">
        <v>160</v>
      </c>
      <c r="W77" s="113">
        <f t="shared" si="15"/>
        <v>30</v>
      </c>
      <c r="AA77" s="75" t="s">
        <v>108</v>
      </c>
      <c r="AB77" s="44"/>
    </row>
    <row r="78" spans="1:28" ht="15">
      <c r="A78" s="15" t="e">
        <f t="shared" ref="A78:A141" si="16">A77+1</f>
        <v>#REF!</v>
      </c>
      <c r="B78" s="15" t="s">
        <v>257</v>
      </c>
      <c r="C78" s="16">
        <v>2020</v>
      </c>
      <c r="D78" s="75" t="s">
        <v>29</v>
      </c>
      <c r="E78" s="16" t="s">
        <v>258</v>
      </c>
      <c r="F78" s="17">
        <v>71</v>
      </c>
      <c r="G78" s="75" t="s">
        <v>120</v>
      </c>
      <c r="H78" s="75" t="s">
        <v>104</v>
      </c>
      <c r="I78" s="76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No</v>
      </c>
      <c r="J78" s="38">
        <v>24927.88</v>
      </c>
      <c r="K78" s="38">
        <v>24927.88</v>
      </c>
      <c r="L78" s="35">
        <v>1</v>
      </c>
      <c r="M78" s="78">
        <f t="shared" ref="M78:M141" si="17">J78/L78</f>
        <v>24927.88</v>
      </c>
      <c r="N78" s="79">
        <f t="shared" ref="N78:N141" si="18">K78/M78</f>
        <v>1</v>
      </c>
      <c r="O78" s="80">
        <f t="shared" si="13"/>
        <v>0</v>
      </c>
      <c r="P78" s="19">
        <v>2350</v>
      </c>
      <c r="Q78" s="19">
        <v>2115.81</v>
      </c>
      <c r="R78" s="81">
        <f t="shared" si="14"/>
        <v>4465.8099999999995</v>
      </c>
      <c r="S78" s="82">
        <f t="shared" ref="S78:S141" si="19">(R78/(K78-P78))*(360/F78)</f>
        <v>1.0029083183173899</v>
      </c>
      <c r="T78" s="83" t="s">
        <v>164</v>
      </c>
      <c r="U78" s="83" t="s">
        <v>159</v>
      </c>
      <c r="V78" s="83" t="s">
        <v>160</v>
      </c>
      <c r="W78" s="113">
        <f t="shared" si="15"/>
        <v>90</v>
      </c>
      <c r="AA78" s="75" t="s">
        <v>108</v>
      </c>
      <c r="AB78" s="44">
        <v>1000</v>
      </c>
    </row>
    <row r="79" spans="1:28" ht="15">
      <c r="A79" s="15" t="e">
        <f t="shared" si="16"/>
        <v>#REF!</v>
      </c>
      <c r="B79" s="15" t="s">
        <v>259</v>
      </c>
      <c r="C79" s="16">
        <v>2022</v>
      </c>
      <c r="D79" s="75" t="s">
        <v>54</v>
      </c>
      <c r="E79" s="16" t="s">
        <v>260</v>
      </c>
      <c r="F79" s="17">
        <v>28</v>
      </c>
      <c r="G79" s="75" t="s">
        <v>110</v>
      </c>
      <c r="H79" s="75" t="s">
        <v>104</v>
      </c>
      <c r="I79" s="76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No</v>
      </c>
      <c r="J79" s="38">
        <v>45000</v>
      </c>
      <c r="K79" s="38">
        <v>45000</v>
      </c>
      <c r="L79" s="35">
        <v>1.03</v>
      </c>
      <c r="M79" s="78">
        <f t="shared" si="17"/>
        <v>43689.320388349515</v>
      </c>
      <c r="N79" s="79">
        <f t="shared" si="18"/>
        <v>1.03</v>
      </c>
      <c r="O79" s="80">
        <f t="shared" si="13"/>
        <v>0</v>
      </c>
      <c r="P79" s="19">
        <v>3921.4</v>
      </c>
      <c r="Q79" s="19">
        <v>676.2</v>
      </c>
      <c r="R79" s="81">
        <f t="shared" si="14"/>
        <v>4597.6000000000004</v>
      </c>
      <c r="S79" s="82">
        <f t="shared" si="19"/>
        <v>1.4389974341871439</v>
      </c>
      <c r="T79" s="83" t="s">
        <v>165</v>
      </c>
      <c r="U79" s="83" t="s">
        <v>159</v>
      </c>
      <c r="V79" s="83" t="s">
        <v>160</v>
      </c>
      <c r="W79" s="113">
        <f t="shared" si="15"/>
        <v>30</v>
      </c>
      <c r="AA79" s="75" t="s">
        <v>108</v>
      </c>
      <c r="AB79" s="44">
        <v>1000</v>
      </c>
    </row>
    <row r="80" spans="1:28" ht="15">
      <c r="A80" s="15" t="e">
        <f t="shared" si="16"/>
        <v>#REF!</v>
      </c>
      <c r="B80" s="15" t="s">
        <v>261</v>
      </c>
      <c r="C80" s="16">
        <v>2018</v>
      </c>
      <c r="D80" s="75" t="s">
        <v>17</v>
      </c>
      <c r="E80" s="16" t="s">
        <v>187</v>
      </c>
      <c r="F80" s="17">
        <v>24</v>
      </c>
      <c r="G80" s="75" t="s">
        <v>103</v>
      </c>
      <c r="H80" s="75" t="s">
        <v>104</v>
      </c>
      <c r="I80" s="76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Yes</v>
      </c>
      <c r="J80" s="38">
        <v>41158</v>
      </c>
      <c r="K80" s="38">
        <v>41158</v>
      </c>
      <c r="L80" s="35">
        <v>1</v>
      </c>
      <c r="M80" s="78">
        <f t="shared" si="17"/>
        <v>41158</v>
      </c>
      <c r="N80" s="79">
        <f t="shared" si="18"/>
        <v>1</v>
      </c>
      <c r="O80" s="80">
        <f t="shared" si="13"/>
        <v>0</v>
      </c>
      <c r="P80" s="19">
        <v>6286.13</v>
      </c>
      <c r="Q80" s="19">
        <v>1291.0999999999999</v>
      </c>
      <c r="R80" s="81">
        <f t="shared" si="14"/>
        <v>7577.23</v>
      </c>
      <c r="S80" s="82">
        <f t="shared" si="19"/>
        <v>3.2593161766202958</v>
      </c>
      <c r="T80" s="83" t="s">
        <v>162</v>
      </c>
      <c r="U80" s="83" t="s">
        <v>159</v>
      </c>
      <c r="V80" s="83" t="s">
        <v>160</v>
      </c>
      <c r="W80" s="113">
        <f t="shared" si="15"/>
        <v>30</v>
      </c>
      <c r="AA80" s="75" t="s">
        <v>108</v>
      </c>
      <c r="AB80" s="44">
        <v>1000</v>
      </c>
    </row>
    <row r="81" spans="1:29" ht="15">
      <c r="A81" s="15" t="e">
        <f t="shared" si="16"/>
        <v>#REF!</v>
      </c>
      <c r="B81" s="15" t="s">
        <v>262</v>
      </c>
      <c r="C81" s="16">
        <v>2021</v>
      </c>
      <c r="D81" s="75" t="s">
        <v>21</v>
      </c>
      <c r="E81" s="16" t="s">
        <v>263</v>
      </c>
      <c r="F81" s="17">
        <v>23</v>
      </c>
      <c r="G81" s="75" t="s">
        <v>120</v>
      </c>
      <c r="H81" s="75" t="s">
        <v>104</v>
      </c>
      <c r="I81" s="76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No</v>
      </c>
      <c r="J81" s="38">
        <v>25078</v>
      </c>
      <c r="K81" s="38">
        <v>25078</v>
      </c>
      <c r="L81" s="35">
        <v>1</v>
      </c>
      <c r="M81" s="78">
        <f t="shared" si="17"/>
        <v>25078</v>
      </c>
      <c r="N81" s="79">
        <f t="shared" si="18"/>
        <v>1</v>
      </c>
      <c r="O81" s="80">
        <f t="shared" si="13"/>
        <v>0</v>
      </c>
      <c r="P81" s="19">
        <v>3464</v>
      </c>
      <c r="Q81" s="19">
        <v>2933</v>
      </c>
      <c r="R81" s="81">
        <f t="shared" si="14"/>
        <v>6397</v>
      </c>
      <c r="S81" s="82">
        <f t="shared" si="19"/>
        <v>4.6325046970361399</v>
      </c>
      <c r="T81" s="83" t="s">
        <v>164</v>
      </c>
      <c r="U81" s="83" t="s">
        <v>159</v>
      </c>
      <c r="V81" s="83" t="s">
        <v>160</v>
      </c>
      <c r="W81" s="113">
        <f t="shared" si="15"/>
        <v>30</v>
      </c>
      <c r="AA81" s="75" t="s">
        <v>108</v>
      </c>
      <c r="AB81" s="44">
        <v>0</v>
      </c>
    </row>
    <row r="82" spans="1:29" ht="15">
      <c r="A82" s="15" t="e">
        <f t="shared" si="16"/>
        <v>#REF!</v>
      </c>
      <c r="B82" s="15" t="s">
        <v>264</v>
      </c>
      <c r="C82" s="16">
        <v>2017</v>
      </c>
      <c r="D82" s="75" t="s">
        <v>19</v>
      </c>
      <c r="E82" s="16" t="s">
        <v>265</v>
      </c>
      <c r="F82" s="17">
        <v>6</v>
      </c>
      <c r="G82" s="75" t="s">
        <v>110</v>
      </c>
      <c r="H82" s="75" t="s">
        <v>104</v>
      </c>
      <c r="I82" s="76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No</v>
      </c>
      <c r="J82" s="38">
        <v>39293</v>
      </c>
      <c r="K82" s="38">
        <v>39293</v>
      </c>
      <c r="L82" s="35">
        <v>0.99</v>
      </c>
      <c r="M82" s="78">
        <f t="shared" si="17"/>
        <v>39689.898989898989</v>
      </c>
      <c r="N82" s="79">
        <f t="shared" si="18"/>
        <v>0.99</v>
      </c>
      <c r="O82" s="80">
        <f t="shared" si="13"/>
        <v>0</v>
      </c>
      <c r="P82" s="19">
        <v>3506.42</v>
      </c>
      <c r="Q82" s="19">
        <v>6908.95</v>
      </c>
      <c r="R82" s="81">
        <f t="shared" si="14"/>
        <v>10415.369999999999</v>
      </c>
      <c r="S82" s="82">
        <f t="shared" si="19"/>
        <v>17.462473362919841</v>
      </c>
      <c r="T82" s="83" t="s">
        <v>165</v>
      </c>
      <c r="U82" s="83" t="s">
        <v>159</v>
      </c>
      <c r="V82" s="83" t="s">
        <v>160</v>
      </c>
      <c r="W82" s="113">
        <f t="shared" si="15"/>
        <v>30</v>
      </c>
      <c r="AA82" s="75" t="s">
        <v>104</v>
      </c>
      <c r="AB82" s="44"/>
    </row>
    <row r="83" spans="1:29" ht="15">
      <c r="A83" s="15" t="e">
        <f t="shared" si="16"/>
        <v>#REF!</v>
      </c>
      <c r="B83" s="15" t="s">
        <v>266</v>
      </c>
      <c r="C83" s="16">
        <v>2016</v>
      </c>
      <c r="D83" s="75" t="s">
        <v>19</v>
      </c>
      <c r="E83" s="16" t="s">
        <v>240</v>
      </c>
      <c r="F83" s="17">
        <v>14</v>
      </c>
      <c r="G83" s="75" t="s">
        <v>110</v>
      </c>
      <c r="H83" s="75" t="s">
        <v>104</v>
      </c>
      <c r="I83" s="76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No</v>
      </c>
      <c r="J83" s="37">
        <v>15000</v>
      </c>
      <c r="K83" s="37">
        <v>15000</v>
      </c>
      <c r="L83" s="35">
        <v>1</v>
      </c>
      <c r="M83" s="78">
        <f t="shared" si="17"/>
        <v>15000</v>
      </c>
      <c r="N83" s="79">
        <f t="shared" si="18"/>
        <v>1</v>
      </c>
      <c r="O83" s="80">
        <f t="shared" si="13"/>
        <v>0</v>
      </c>
      <c r="P83" s="19">
        <v>2983</v>
      </c>
      <c r="Q83" s="19">
        <v>290</v>
      </c>
      <c r="R83" s="81">
        <f t="shared" si="14"/>
        <v>3273</v>
      </c>
      <c r="S83" s="82">
        <f t="shared" si="19"/>
        <v>7.003649591649924</v>
      </c>
      <c r="T83" s="83" t="s">
        <v>162</v>
      </c>
      <c r="U83" s="83" t="s">
        <v>159</v>
      </c>
      <c r="V83" s="83" t="s">
        <v>160</v>
      </c>
      <c r="W83" s="113">
        <f t="shared" si="15"/>
        <v>30</v>
      </c>
      <c r="AA83" s="75" t="s">
        <v>104</v>
      </c>
      <c r="AB83" s="44"/>
    </row>
    <row r="84" spans="1:29" ht="15">
      <c r="A84" s="15" t="e">
        <f t="shared" si="16"/>
        <v>#REF!</v>
      </c>
      <c r="B84" s="15" t="s">
        <v>267</v>
      </c>
      <c r="C84" s="16">
        <v>2018</v>
      </c>
      <c r="D84" s="75" t="s">
        <v>30</v>
      </c>
      <c r="E84" s="16" t="s">
        <v>268</v>
      </c>
      <c r="F84" s="17">
        <v>10</v>
      </c>
      <c r="G84" s="75" t="s">
        <v>103</v>
      </c>
      <c r="H84" s="75" t="s">
        <v>104</v>
      </c>
      <c r="I84" s="76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No</v>
      </c>
      <c r="J84" s="38">
        <v>15999</v>
      </c>
      <c r="K84" s="38">
        <v>15999</v>
      </c>
      <c r="L84" s="35">
        <v>1</v>
      </c>
      <c r="M84" s="78">
        <f t="shared" si="17"/>
        <v>15999</v>
      </c>
      <c r="N84" s="79">
        <f t="shared" si="18"/>
        <v>1</v>
      </c>
      <c r="O84" s="80">
        <f t="shared" si="13"/>
        <v>0</v>
      </c>
      <c r="P84" s="19">
        <v>5528.06</v>
      </c>
      <c r="Q84" s="19">
        <v>3970.9</v>
      </c>
      <c r="R84" s="81">
        <f t="shared" si="14"/>
        <v>9498.9600000000009</v>
      </c>
      <c r="S84" s="82">
        <f t="shared" si="19"/>
        <v>32.658248447608337</v>
      </c>
      <c r="T84" s="83" t="s">
        <v>165</v>
      </c>
      <c r="U84" s="83" t="s">
        <v>159</v>
      </c>
      <c r="V84" s="83" t="s">
        <v>160</v>
      </c>
      <c r="W84" s="113">
        <f t="shared" si="15"/>
        <v>30</v>
      </c>
      <c r="AA84" s="75" t="s">
        <v>108</v>
      </c>
      <c r="AB84" s="44">
        <v>-250</v>
      </c>
    </row>
    <row r="85" spans="1:29" ht="15">
      <c r="A85" s="15" t="e">
        <f t="shared" si="16"/>
        <v>#REF!</v>
      </c>
      <c r="B85" s="15" t="s">
        <v>269</v>
      </c>
      <c r="C85" s="16">
        <v>2021</v>
      </c>
      <c r="D85" s="75" t="s">
        <v>47</v>
      </c>
      <c r="E85" s="16">
        <v>1500</v>
      </c>
      <c r="F85" s="17">
        <v>7</v>
      </c>
      <c r="G85" s="75" t="s">
        <v>120</v>
      </c>
      <c r="H85" s="75" t="s">
        <v>104</v>
      </c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No</v>
      </c>
      <c r="J85" s="38">
        <v>43000</v>
      </c>
      <c r="K85" s="38">
        <v>43000</v>
      </c>
      <c r="L85" s="35">
        <v>0.96</v>
      </c>
      <c r="M85" s="78">
        <f t="shared" si="17"/>
        <v>44791.666666666672</v>
      </c>
      <c r="N85" s="79">
        <f t="shared" si="18"/>
        <v>0.95999999999999985</v>
      </c>
      <c r="O85" s="80">
        <f t="shared" si="13"/>
        <v>0</v>
      </c>
      <c r="P85" s="19">
        <v>6409.79</v>
      </c>
      <c r="Q85" s="19">
        <v>3025.47</v>
      </c>
      <c r="R85" s="81">
        <f t="shared" si="14"/>
        <v>9435.26</v>
      </c>
      <c r="S85" s="82">
        <f t="shared" si="19"/>
        <v>13.261523857259714</v>
      </c>
      <c r="T85" s="83" t="s">
        <v>165</v>
      </c>
      <c r="U85" s="83" t="s">
        <v>159</v>
      </c>
      <c r="V85" s="83" t="s">
        <v>160</v>
      </c>
      <c r="W85" s="113">
        <f t="shared" si="15"/>
        <v>30</v>
      </c>
      <c r="AA85" s="75" t="s">
        <v>108</v>
      </c>
      <c r="AB85" s="44">
        <v>1922.71</v>
      </c>
    </row>
    <row r="86" spans="1:29" ht="15">
      <c r="A86" s="15" t="e">
        <f t="shared" si="16"/>
        <v>#REF!</v>
      </c>
      <c r="B86" s="15" t="s">
        <v>270</v>
      </c>
      <c r="C86" s="16">
        <v>2018</v>
      </c>
      <c r="D86" s="75" t="s">
        <v>21</v>
      </c>
      <c r="E86" s="16" t="s">
        <v>271</v>
      </c>
      <c r="F86" s="17">
        <v>33</v>
      </c>
      <c r="G86" s="75" t="s">
        <v>110</v>
      </c>
      <c r="H86" s="75" t="s">
        <v>104</v>
      </c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No</v>
      </c>
      <c r="J86" s="38">
        <v>39747</v>
      </c>
      <c r="K86" s="38">
        <v>39747</v>
      </c>
      <c r="L86" s="35">
        <v>1</v>
      </c>
      <c r="M86" s="78">
        <f t="shared" si="17"/>
        <v>39747</v>
      </c>
      <c r="N86" s="79">
        <f t="shared" si="18"/>
        <v>1</v>
      </c>
      <c r="O86" s="80">
        <f t="shared" si="13"/>
        <v>0</v>
      </c>
      <c r="P86" s="19">
        <v>2850.13</v>
      </c>
      <c r="Q86" s="19">
        <v>431</v>
      </c>
      <c r="R86" s="81">
        <f t="shared" si="14"/>
        <v>3281.13</v>
      </c>
      <c r="S86" s="82">
        <f t="shared" si="19"/>
        <v>0.9701133308745552</v>
      </c>
      <c r="T86" s="83" t="s">
        <v>170</v>
      </c>
      <c r="U86" s="83" t="s">
        <v>159</v>
      </c>
      <c r="V86" s="83" t="s">
        <v>160</v>
      </c>
      <c r="W86" s="113">
        <f t="shared" si="15"/>
        <v>45</v>
      </c>
      <c r="AA86" s="75" t="s">
        <v>104</v>
      </c>
      <c r="AB86" s="44"/>
    </row>
    <row r="87" spans="1:29" ht="15">
      <c r="A87" s="15" t="e">
        <f t="shared" si="16"/>
        <v>#REF!</v>
      </c>
      <c r="B87" s="15" t="s">
        <v>272</v>
      </c>
      <c r="C87" s="16">
        <v>2019</v>
      </c>
      <c r="D87" s="75" t="s">
        <v>17</v>
      </c>
      <c r="E87" s="16" t="s">
        <v>102</v>
      </c>
      <c r="F87" s="17">
        <v>19</v>
      </c>
      <c r="G87" s="75" t="s">
        <v>110</v>
      </c>
      <c r="H87" s="75" t="s">
        <v>104</v>
      </c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Yes</v>
      </c>
      <c r="J87" s="37">
        <v>21838</v>
      </c>
      <c r="K87" s="37">
        <v>21838</v>
      </c>
      <c r="L87" s="35">
        <v>0.99</v>
      </c>
      <c r="M87" s="78">
        <f t="shared" si="17"/>
        <v>22058.585858585859</v>
      </c>
      <c r="N87" s="79">
        <f t="shared" si="18"/>
        <v>0.99</v>
      </c>
      <c r="O87" s="80">
        <f t="shared" si="13"/>
        <v>0</v>
      </c>
      <c r="P87" s="19">
        <v>4375.4699999999993</v>
      </c>
      <c r="Q87" s="19">
        <v>2329.4499999999998</v>
      </c>
      <c r="R87" s="81">
        <f t="shared" si="14"/>
        <v>6704.9199999999992</v>
      </c>
      <c r="S87" s="82">
        <f t="shared" si="19"/>
        <v>7.275039153758601</v>
      </c>
      <c r="T87" s="83" t="s">
        <v>163</v>
      </c>
      <c r="U87" s="83" t="s">
        <v>166</v>
      </c>
      <c r="V87" s="83" t="s">
        <v>160</v>
      </c>
      <c r="W87" s="113">
        <f t="shared" si="15"/>
        <v>30</v>
      </c>
      <c r="AA87" s="75" t="s">
        <v>108</v>
      </c>
      <c r="AB87" s="44">
        <v>400</v>
      </c>
    </row>
    <row r="88" spans="1:29" ht="15">
      <c r="A88" s="15" t="e">
        <f t="shared" si="16"/>
        <v>#REF!</v>
      </c>
      <c r="B88" s="15" t="s">
        <v>273</v>
      </c>
      <c r="C88" s="16">
        <v>2022</v>
      </c>
      <c r="D88" s="75" t="s">
        <v>17</v>
      </c>
      <c r="E88" s="16" t="s">
        <v>274</v>
      </c>
      <c r="F88" s="17">
        <v>51</v>
      </c>
      <c r="G88" s="75" t="s">
        <v>110</v>
      </c>
      <c r="H88" s="75" t="s">
        <v>104</v>
      </c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Yes</v>
      </c>
      <c r="J88" s="38">
        <v>59348</v>
      </c>
      <c r="K88" s="38">
        <v>59348</v>
      </c>
      <c r="L88" s="35">
        <v>1</v>
      </c>
      <c r="M88" s="78">
        <f t="shared" si="17"/>
        <v>59348</v>
      </c>
      <c r="N88" s="79">
        <f t="shared" si="18"/>
        <v>1</v>
      </c>
      <c r="O88" s="80">
        <f t="shared" si="13"/>
        <v>0</v>
      </c>
      <c r="P88" s="19">
        <v>815.45</v>
      </c>
      <c r="Q88" s="19">
        <v>5793.73</v>
      </c>
      <c r="R88" s="81">
        <f t="shared" si="14"/>
        <v>6609.1799999999994</v>
      </c>
      <c r="S88" s="82">
        <f t="shared" si="19"/>
        <v>0.79704429918255126</v>
      </c>
      <c r="T88" s="83" t="s">
        <v>164</v>
      </c>
      <c r="U88" s="83" t="s">
        <v>166</v>
      </c>
      <c r="V88" s="83" t="s">
        <v>160</v>
      </c>
      <c r="W88" s="113">
        <f t="shared" si="15"/>
        <v>60</v>
      </c>
      <c r="AA88" s="75" t="s">
        <v>104</v>
      </c>
      <c r="AB88" s="44"/>
    </row>
    <row r="89" spans="1:29" ht="15">
      <c r="A89" s="15" t="e">
        <f t="shared" si="16"/>
        <v>#REF!</v>
      </c>
      <c r="B89" s="15" t="s">
        <v>275</v>
      </c>
      <c r="C89" s="16">
        <v>2021</v>
      </c>
      <c r="D89" s="75" t="s">
        <v>23</v>
      </c>
      <c r="E89" s="16" t="s">
        <v>276</v>
      </c>
      <c r="F89" s="17">
        <v>4</v>
      </c>
      <c r="G89" s="75" t="s">
        <v>110</v>
      </c>
      <c r="H89" s="75" t="s">
        <v>104</v>
      </c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No</v>
      </c>
      <c r="J89" s="38">
        <v>40730</v>
      </c>
      <c r="K89" s="38">
        <v>40730</v>
      </c>
      <c r="L89" s="35">
        <v>1</v>
      </c>
      <c r="M89" s="78">
        <f t="shared" si="17"/>
        <v>40730</v>
      </c>
      <c r="N89" s="79">
        <f t="shared" si="18"/>
        <v>1</v>
      </c>
      <c r="O89" s="80">
        <f t="shared" si="13"/>
        <v>0</v>
      </c>
      <c r="P89" s="19">
        <v>7900</v>
      </c>
      <c r="Q89" s="19">
        <v>4986.07</v>
      </c>
      <c r="R89" s="81">
        <f t="shared" si="14"/>
        <v>12886.07</v>
      </c>
      <c r="S89" s="82">
        <f t="shared" si="19"/>
        <v>35.325808711544319</v>
      </c>
      <c r="T89" s="83" t="s">
        <v>163</v>
      </c>
      <c r="U89" s="83" t="s">
        <v>166</v>
      </c>
      <c r="V89" s="83" t="s">
        <v>160</v>
      </c>
      <c r="W89" s="113">
        <f t="shared" si="15"/>
        <v>30</v>
      </c>
      <c r="AA89" s="75" t="s">
        <v>108</v>
      </c>
      <c r="AB89" s="44">
        <v>3000</v>
      </c>
    </row>
    <row r="90" spans="1:29" ht="15">
      <c r="A90" s="15" t="e">
        <f t="shared" si="16"/>
        <v>#REF!</v>
      </c>
      <c r="B90" s="115" t="s">
        <v>277</v>
      </c>
      <c r="C90" s="16">
        <v>2018</v>
      </c>
      <c r="D90" s="75" t="s">
        <v>24</v>
      </c>
      <c r="E90" s="16" t="s">
        <v>278</v>
      </c>
      <c r="F90" s="17">
        <v>5</v>
      </c>
      <c r="G90" s="75" t="s">
        <v>112</v>
      </c>
      <c r="H90" s="75" t="s">
        <v>104</v>
      </c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No</v>
      </c>
      <c r="J90" s="37">
        <v>28999</v>
      </c>
      <c r="K90" s="37">
        <v>28999</v>
      </c>
      <c r="L90" s="35">
        <v>0.98</v>
      </c>
      <c r="M90" s="78">
        <f t="shared" si="17"/>
        <v>29590.816326530614</v>
      </c>
      <c r="N90" s="79">
        <f t="shared" si="18"/>
        <v>0.98</v>
      </c>
      <c r="O90" s="80">
        <f t="shared" si="13"/>
        <v>0</v>
      </c>
      <c r="P90" s="19">
        <v>5413.67</v>
      </c>
      <c r="Q90" s="19">
        <v>6332.89</v>
      </c>
      <c r="R90" s="81">
        <f t="shared" si="14"/>
        <v>11746.560000000001</v>
      </c>
      <c r="S90" s="82">
        <f t="shared" si="19"/>
        <v>35.859253188316636</v>
      </c>
      <c r="T90" s="83" t="s">
        <v>163</v>
      </c>
      <c r="U90" s="83" t="s">
        <v>159</v>
      </c>
      <c r="V90" s="83" t="s">
        <v>160</v>
      </c>
      <c r="W90" s="113">
        <f t="shared" si="15"/>
        <v>30</v>
      </c>
      <c r="AA90" s="75" t="s">
        <v>108</v>
      </c>
      <c r="AB90" s="44">
        <v>1000</v>
      </c>
    </row>
    <row r="91" spans="1:29" ht="15">
      <c r="A91" s="15" t="e">
        <f t="shared" si="16"/>
        <v>#REF!</v>
      </c>
      <c r="B91" s="15" t="s">
        <v>279</v>
      </c>
      <c r="C91" s="16">
        <v>2022</v>
      </c>
      <c r="D91" s="75" t="s">
        <v>17</v>
      </c>
      <c r="E91" s="16" t="s">
        <v>280</v>
      </c>
      <c r="F91" s="17">
        <v>3</v>
      </c>
      <c r="G91" s="75" t="s">
        <v>112</v>
      </c>
      <c r="H91" s="75" t="s">
        <v>104</v>
      </c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Yes</v>
      </c>
      <c r="J91" s="37">
        <v>50806</v>
      </c>
      <c r="K91" s="37">
        <v>50806</v>
      </c>
      <c r="L91" s="35">
        <v>1</v>
      </c>
      <c r="M91" s="78">
        <f t="shared" si="17"/>
        <v>50806</v>
      </c>
      <c r="N91" s="79">
        <f t="shared" si="18"/>
        <v>1</v>
      </c>
      <c r="O91" s="80">
        <f t="shared" si="13"/>
        <v>0</v>
      </c>
      <c r="P91" s="19">
        <v>5802</v>
      </c>
      <c r="Q91" s="19">
        <v>3989.43</v>
      </c>
      <c r="R91" s="81">
        <f t="shared" si="14"/>
        <v>9791.43</v>
      </c>
      <c r="S91" s="82">
        <f t="shared" si="19"/>
        <v>26.108159274731136</v>
      </c>
      <c r="T91" s="83" t="s">
        <v>165</v>
      </c>
      <c r="U91" s="83" t="s">
        <v>159</v>
      </c>
      <c r="V91" s="83" t="s">
        <v>160</v>
      </c>
      <c r="W91" s="113">
        <f t="shared" si="15"/>
        <v>30</v>
      </c>
      <c r="AA91" s="75" t="s">
        <v>108</v>
      </c>
      <c r="AB91" s="44">
        <v>5000</v>
      </c>
      <c r="AC91" s="51">
        <v>1350</v>
      </c>
    </row>
    <row r="92" spans="1:29" ht="15">
      <c r="A92" s="15" t="e">
        <f t="shared" si="16"/>
        <v>#REF!</v>
      </c>
      <c r="B92" s="15" t="s">
        <v>281</v>
      </c>
      <c r="C92" s="16">
        <v>2020</v>
      </c>
      <c r="D92" s="75" t="s">
        <v>17</v>
      </c>
      <c r="E92" s="16" t="s">
        <v>102</v>
      </c>
      <c r="F92" s="17">
        <v>3</v>
      </c>
      <c r="G92" s="75" t="s">
        <v>103</v>
      </c>
      <c r="H92" s="75" t="s">
        <v>104</v>
      </c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Yes</v>
      </c>
      <c r="J92" s="37">
        <v>23473</v>
      </c>
      <c r="K92" s="37">
        <v>23473</v>
      </c>
      <c r="L92" s="35">
        <v>0.99</v>
      </c>
      <c r="M92" s="78">
        <f t="shared" si="17"/>
        <v>23710.101010101011</v>
      </c>
      <c r="N92" s="79">
        <f t="shared" si="18"/>
        <v>0.99</v>
      </c>
      <c r="O92" s="80">
        <f t="shared" si="13"/>
        <v>0</v>
      </c>
      <c r="P92" s="19">
        <v>5876.14</v>
      </c>
      <c r="Q92" s="19">
        <v>3151.53</v>
      </c>
      <c r="R92" s="81">
        <f t="shared" si="14"/>
        <v>9027.67</v>
      </c>
      <c r="S92" s="82">
        <f t="shared" si="19"/>
        <v>61.563278903167955</v>
      </c>
      <c r="T92" s="83" t="s">
        <v>163</v>
      </c>
      <c r="U92" s="83" t="s">
        <v>159</v>
      </c>
      <c r="V92" s="83" t="s">
        <v>160</v>
      </c>
      <c r="W92" s="113">
        <f t="shared" si="15"/>
        <v>30</v>
      </c>
      <c r="AA92" s="75" t="s">
        <v>108</v>
      </c>
      <c r="AB92" s="44">
        <v>2250</v>
      </c>
    </row>
    <row r="93" spans="1:29" ht="15">
      <c r="A93" s="15" t="e">
        <f t="shared" si="16"/>
        <v>#REF!</v>
      </c>
      <c r="B93" s="15" t="s">
        <v>282</v>
      </c>
      <c r="C93" s="16">
        <v>2015</v>
      </c>
      <c r="D93" s="75" t="s">
        <v>29</v>
      </c>
      <c r="E93" s="16" t="s">
        <v>258</v>
      </c>
      <c r="F93" s="17">
        <v>2</v>
      </c>
      <c r="G93" s="75" t="s">
        <v>109</v>
      </c>
      <c r="H93" s="75" t="s">
        <v>104</v>
      </c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No</v>
      </c>
      <c r="J93" s="38">
        <v>12442</v>
      </c>
      <c r="K93" s="38">
        <v>12442</v>
      </c>
      <c r="L93" s="35">
        <v>1</v>
      </c>
      <c r="M93" s="78">
        <f t="shared" si="17"/>
        <v>12442</v>
      </c>
      <c r="N93" s="79">
        <f t="shared" si="18"/>
        <v>1</v>
      </c>
      <c r="O93" s="80">
        <f t="shared" si="13"/>
        <v>0</v>
      </c>
      <c r="P93" s="19">
        <v>3362.65</v>
      </c>
      <c r="Q93" s="19">
        <v>6207.87</v>
      </c>
      <c r="R93" s="81">
        <f t="shared" si="14"/>
        <v>9570.52</v>
      </c>
      <c r="S93" s="82">
        <f t="shared" si="19"/>
        <v>189.73754729138096</v>
      </c>
      <c r="T93" s="83" t="s">
        <v>163</v>
      </c>
      <c r="U93" s="83" t="s">
        <v>159</v>
      </c>
      <c r="V93" s="83" t="s">
        <v>160</v>
      </c>
      <c r="W93" s="113">
        <f t="shared" si="15"/>
        <v>30</v>
      </c>
      <c r="AA93" s="75" t="s">
        <v>104</v>
      </c>
      <c r="AB93" s="44"/>
    </row>
    <row r="94" spans="1:29" ht="15">
      <c r="A94" s="15" t="e">
        <f t="shared" si="16"/>
        <v>#REF!</v>
      </c>
      <c r="B94" s="15" t="s">
        <v>283</v>
      </c>
      <c r="C94" s="16">
        <v>2016</v>
      </c>
      <c r="D94" s="75" t="s">
        <v>17</v>
      </c>
      <c r="E94" s="16" t="s">
        <v>187</v>
      </c>
      <c r="F94" s="17">
        <v>31</v>
      </c>
      <c r="G94" s="75" t="s">
        <v>110</v>
      </c>
      <c r="H94" s="75" t="s">
        <v>104</v>
      </c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Yes</v>
      </c>
      <c r="J94" s="37">
        <v>30000</v>
      </c>
      <c r="K94" s="37">
        <v>30000</v>
      </c>
      <c r="L94" s="35">
        <v>0.96</v>
      </c>
      <c r="M94" s="78">
        <f t="shared" si="17"/>
        <v>31250</v>
      </c>
      <c r="N94" s="79">
        <f t="shared" si="18"/>
        <v>0.96</v>
      </c>
      <c r="O94" s="80">
        <f t="shared" si="13"/>
        <v>0</v>
      </c>
      <c r="P94" s="19">
        <v>4884.16</v>
      </c>
      <c r="Q94" s="19">
        <v>2398.0700000000002</v>
      </c>
      <c r="R94" s="81">
        <f t="shared" si="14"/>
        <v>7282.23</v>
      </c>
      <c r="S94" s="82">
        <f t="shared" si="19"/>
        <v>3.3671114427414932</v>
      </c>
      <c r="T94" s="83" t="s">
        <v>165</v>
      </c>
      <c r="U94" s="83" t="s">
        <v>159</v>
      </c>
      <c r="V94" s="83" t="s">
        <v>160</v>
      </c>
      <c r="W94" s="113">
        <f t="shared" si="15"/>
        <v>45</v>
      </c>
      <c r="AA94" s="75" t="s">
        <v>108</v>
      </c>
      <c r="AB94" s="44">
        <v>1000</v>
      </c>
    </row>
    <row r="95" spans="1:29" ht="15">
      <c r="A95" s="15" t="e">
        <f t="shared" si="16"/>
        <v>#REF!</v>
      </c>
      <c r="B95" s="15" t="s">
        <v>284</v>
      </c>
      <c r="C95" s="16">
        <v>2015</v>
      </c>
      <c r="D95" s="75" t="s">
        <v>54</v>
      </c>
      <c r="E95" s="16" t="s">
        <v>285</v>
      </c>
      <c r="F95" s="17">
        <v>15</v>
      </c>
      <c r="G95" s="75" t="s">
        <v>112</v>
      </c>
      <c r="H95" s="75" t="s">
        <v>104</v>
      </c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No</v>
      </c>
      <c r="J95" s="38">
        <v>13919</v>
      </c>
      <c r="K95" s="38">
        <v>13919</v>
      </c>
      <c r="L95" s="35">
        <v>1</v>
      </c>
      <c r="M95" s="78">
        <f t="shared" si="17"/>
        <v>13919</v>
      </c>
      <c r="N95" s="79">
        <f t="shared" si="18"/>
        <v>1</v>
      </c>
      <c r="O95" s="80">
        <f t="shared" si="13"/>
        <v>0</v>
      </c>
      <c r="P95" s="19">
        <v>4215.6499999999996</v>
      </c>
      <c r="Q95" s="19">
        <v>290</v>
      </c>
      <c r="R95" s="81">
        <f t="shared" si="14"/>
        <v>4505.6499999999996</v>
      </c>
      <c r="S95" s="82">
        <f t="shared" si="19"/>
        <v>11.144151246734374</v>
      </c>
      <c r="T95" s="83" t="s">
        <v>165</v>
      </c>
      <c r="U95" s="83" t="s">
        <v>159</v>
      </c>
      <c r="V95" s="83" t="s">
        <v>160</v>
      </c>
      <c r="W95" s="113">
        <f t="shared" si="15"/>
        <v>30</v>
      </c>
      <c r="AA95" s="75" t="s">
        <v>108</v>
      </c>
      <c r="AB95" s="44">
        <v>250</v>
      </c>
    </row>
    <row r="96" spans="1:29" ht="15">
      <c r="A96" s="15" t="e">
        <f t="shared" si="16"/>
        <v>#REF!</v>
      </c>
      <c r="B96" s="15" t="s">
        <v>286</v>
      </c>
      <c r="C96" s="16">
        <v>2020</v>
      </c>
      <c r="D96" s="75" t="s">
        <v>17</v>
      </c>
      <c r="E96" s="16" t="s">
        <v>213</v>
      </c>
      <c r="F96" s="17">
        <v>14</v>
      </c>
      <c r="G96" s="75" t="s">
        <v>103</v>
      </c>
      <c r="H96" s="75" t="s">
        <v>104</v>
      </c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Yes</v>
      </c>
      <c r="J96" s="38">
        <v>19500</v>
      </c>
      <c r="K96" s="38">
        <v>19500</v>
      </c>
      <c r="L96" s="35">
        <v>0.99</v>
      </c>
      <c r="M96" s="78">
        <f t="shared" si="17"/>
        <v>19696.969696969696</v>
      </c>
      <c r="N96" s="79">
        <f t="shared" si="18"/>
        <v>0.99</v>
      </c>
      <c r="O96" s="80">
        <f t="shared" si="13"/>
        <v>0</v>
      </c>
      <c r="P96" s="19">
        <v>2824.12</v>
      </c>
      <c r="Q96" s="19">
        <v>514.22</v>
      </c>
      <c r="R96" s="81">
        <f t="shared" si="14"/>
        <v>3338.34</v>
      </c>
      <c r="S96" s="82">
        <f t="shared" si="19"/>
        <v>5.1477360457995971</v>
      </c>
      <c r="T96" s="83" t="s">
        <v>161</v>
      </c>
      <c r="U96" s="83" t="s">
        <v>159</v>
      </c>
      <c r="V96" s="83" t="s">
        <v>160</v>
      </c>
      <c r="W96" s="113">
        <f t="shared" si="15"/>
        <v>30</v>
      </c>
      <c r="AA96" s="75" t="s">
        <v>104</v>
      </c>
      <c r="AB96" s="44"/>
    </row>
    <row r="97" spans="1:28" ht="15">
      <c r="A97" s="15" t="e">
        <f t="shared" si="16"/>
        <v>#REF!</v>
      </c>
      <c r="B97" s="15" t="s">
        <v>287</v>
      </c>
      <c r="C97" s="16">
        <v>2012</v>
      </c>
      <c r="D97" s="75" t="s">
        <v>17</v>
      </c>
      <c r="E97" s="16" t="s">
        <v>288</v>
      </c>
      <c r="F97" s="17">
        <v>13</v>
      </c>
      <c r="G97" s="75" t="s">
        <v>120</v>
      </c>
      <c r="H97" s="75" t="s">
        <v>104</v>
      </c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Yes</v>
      </c>
      <c r="J97" s="37">
        <v>19900</v>
      </c>
      <c r="K97" s="37">
        <v>19900</v>
      </c>
      <c r="L97" s="35">
        <v>1</v>
      </c>
      <c r="M97" s="78">
        <f t="shared" si="17"/>
        <v>19900</v>
      </c>
      <c r="N97" s="79">
        <f t="shared" si="18"/>
        <v>1</v>
      </c>
      <c r="O97" s="80">
        <f t="shared" si="13"/>
        <v>0</v>
      </c>
      <c r="P97" s="19">
        <v>3498</v>
      </c>
      <c r="Q97" s="19">
        <v>565.5</v>
      </c>
      <c r="R97" s="81">
        <f t="shared" si="14"/>
        <v>4063.5</v>
      </c>
      <c r="S97" s="82">
        <f t="shared" si="19"/>
        <v>6.8606079933966786</v>
      </c>
      <c r="T97" s="83" t="s">
        <v>162</v>
      </c>
      <c r="U97" s="83" t="s">
        <v>166</v>
      </c>
      <c r="V97" s="83" t="s">
        <v>160</v>
      </c>
      <c r="W97" s="113">
        <f t="shared" si="15"/>
        <v>30</v>
      </c>
      <c r="AA97" s="75" t="s">
        <v>104</v>
      </c>
      <c r="AB97" s="44"/>
    </row>
    <row r="98" spans="1:28" ht="15">
      <c r="A98" s="15" t="e">
        <f t="shared" si="16"/>
        <v>#REF!</v>
      </c>
      <c r="B98" s="15" t="s">
        <v>289</v>
      </c>
      <c r="C98" s="16">
        <v>2016</v>
      </c>
      <c r="D98" s="75" t="s">
        <v>29</v>
      </c>
      <c r="E98" s="16" t="s">
        <v>290</v>
      </c>
      <c r="F98" s="17">
        <v>43</v>
      </c>
      <c r="G98" s="75" t="s">
        <v>120</v>
      </c>
      <c r="H98" s="75" t="s">
        <v>104</v>
      </c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No</v>
      </c>
      <c r="J98" s="38">
        <v>16294</v>
      </c>
      <c r="K98" s="38">
        <v>16294</v>
      </c>
      <c r="L98" s="35">
        <v>0.99</v>
      </c>
      <c r="M98" s="78">
        <f t="shared" si="17"/>
        <v>16458.585858585859</v>
      </c>
      <c r="N98" s="79">
        <f t="shared" si="18"/>
        <v>0.99</v>
      </c>
      <c r="O98" s="80">
        <f t="shared" si="13"/>
        <v>0</v>
      </c>
      <c r="P98" s="19">
        <v>1816.8899999999999</v>
      </c>
      <c r="Q98" s="19">
        <v>3355.79</v>
      </c>
      <c r="R98" s="81">
        <f t="shared" si="14"/>
        <v>5172.68</v>
      </c>
      <c r="S98" s="82">
        <f t="shared" si="19"/>
        <v>2.9913538088427103</v>
      </c>
      <c r="T98" s="83" t="s">
        <v>163</v>
      </c>
      <c r="U98" s="83" t="s">
        <v>166</v>
      </c>
      <c r="V98" s="83" t="s">
        <v>160</v>
      </c>
      <c r="W98" s="113">
        <f t="shared" si="15"/>
        <v>45</v>
      </c>
      <c r="AA98" s="75" t="s">
        <v>104</v>
      </c>
      <c r="AB98" s="44"/>
    </row>
    <row r="99" spans="1:28" ht="15">
      <c r="A99" s="15" t="e">
        <f t="shared" si="16"/>
        <v>#REF!</v>
      </c>
      <c r="B99" s="15" t="s">
        <v>291</v>
      </c>
      <c r="C99" s="16">
        <v>2015</v>
      </c>
      <c r="D99" s="75" t="s">
        <v>17</v>
      </c>
      <c r="E99" s="16" t="s">
        <v>187</v>
      </c>
      <c r="F99" s="17">
        <v>18</v>
      </c>
      <c r="G99" s="75" t="s">
        <v>110</v>
      </c>
      <c r="H99" s="75" t="s">
        <v>104</v>
      </c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Yes</v>
      </c>
      <c r="J99" s="38">
        <v>19067</v>
      </c>
      <c r="K99" s="38">
        <v>19067</v>
      </c>
      <c r="L99" s="35">
        <v>1</v>
      </c>
      <c r="M99" s="78">
        <f t="shared" si="17"/>
        <v>19067</v>
      </c>
      <c r="N99" s="79">
        <f t="shared" si="18"/>
        <v>1</v>
      </c>
      <c r="O99" s="80">
        <f t="shared" si="13"/>
        <v>0</v>
      </c>
      <c r="P99" s="19">
        <v>2804.09</v>
      </c>
      <c r="Q99" s="19">
        <v>1720.02</v>
      </c>
      <c r="R99" s="81">
        <f t="shared" si="14"/>
        <v>4524.1100000000006</v>
      </c>
      <c r="S99" s="82">
        <f t="shared" si="19"/>
        <v>5.5637152268566945</v>
      </c>
      <c r="T99" s="83" t="s">
        <v>161</v>
      </c>
      <c r="U99" s="83" t="s">
        <v>166</v>
      </c>
      <c r="V99" s="83" t="s">
        <v>160</v>
      </c>
      <c r="W99" s="113">
        <f t="shared" si="15"/>
        <v>30</v>
      </c>
      <c r="AA99" s="75" t="s">
        <v>104</v>
      </c>
      <c r="AB99" s="44"/>
    </row>
    <row r="100" spans="1:28" ht="15">
      <c r="A100" s="15" t="e">
        <f t="shared" si="16"/>
        <v>#REF!</v>
      </c>
      <c r="B100" s="15" t="s">
        <v>292</v>
      </c>
      <c r="C100" s="16">
        <v>2017</v>
      </c>
      <c r="D100" s="75" t="s">
        <v>21</v>
      </c>
      <c r="E100" s="16" t="s">
        <v>271</v>
      </c>
      <c r="F100" s="17">
        <v>12</v>
      </c>
      <c r="G100" s="75" t="s">
        <v>120</v>
      </c>
      <c r="H100" s="75" t="s">
        <v>104</v>
      </c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No</v>
      </c>
      <c r="J100" s="38">
        <v>29185</v>
      </c>
      <c r="K100" s="38">
        <v>29185</v>
      </c>
      <c r="L100" s="35">
        <v>0.98</v>
      </c>
      <c r="M100" s="78">
        <f t="shared" si="17"/>
        <v>29780.612244897959</v>
      </c>
      <c r="N100" s="79">
        <f t="shared" si="18"/>
        <v>0.98</v>
      </c>
      <c r="O100" s="80">
        <f t="shared" si="13"/>
        <v>0</v>
      </c>
      <c r="P100" s="19">
        <v>3133.35</v>
      </c>
      <c r="Q100" s="19">
        <v>4482.03</v>
      </c>
      <c r="R100" s="81">
        <f t="shared" si="14"/>
        <v>7615.3799999999992</v>
      </c>
      <c r="S100" s="82">
        <f t="shared" si="19"/>
        <v>8.7695558630643351</v>
      </c>
      <c r="T100" s="83" t="s">
        <v>162</v>
      </c>
      <c r="U100" s="83" t="s">
        <v>159</v>
      </c>
      <c r="V100" s="83" t="s">
        <v>160</v>
      </c>
      <c r="W100" s="113">
        <f t="shared" si="15"/>
        <v>30</v>
      </c>
      <c r="AA100" s="75" t="s">
        <v>104</v>
      </c>
      <c r="AB100" s="44"/>
    </row>
    <row r="101" spans="1:28" ht="15">
      <c r="A101" s="15" t="e">
        <f t="shared" si="16"/>
        <v>#REF!</v>
      </c>
      <c r="B101" s="15" t="s">
        <v>293</v>
      </c>
      <c r="C101" s="16">
        <v>2021</v>
      </c>
      <c r="D101" s="75" t="s">
        <v>23</v>
      </c>
      <c r="E101" s="16" t="s">
        <v>276</v>
      </c>
      <c r="F101" s="17">
        <v>9</v>
      </c>
      <c r="G101" s="75" t="s">
        <v>103</v>
      </c>
      <c r="H101" s="75" t="s">
        <v>104</v>
      </c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No</v>
      </c>
      <c r="J101" s="37">
        <v>44769</v>
      </c>
      <c r="K101" s="37">
        <v>44769</v>
      </c>
      <c r="L101" s="35">
        <v>1</v>
      </c>
      <c r="M101" s="78">
        <f t="shared" si="17"/>
        <v>44769</v>
      </c>
      <c r="N101" s="79">
        <f t="shared" si="18"/>
        <v>1</v>
      </c>
      <c r="O101" s="80">
        <f t="shared" si="13"/>
        <v>0</v>
      </c>
      <c r="P101" s="19">
        <v>5770.3</v>
      </c>
      <c r="Q101" s="19">
        <v>2287.83</v>
      </c>
      <c r="R101" s="81">
        <f t="shared" si="14"/>
        <v>8058.13</v>
      </c>
      <c r="S101" s="82">
        <f t="shared" si="19"/>
        <v>8.265024218756011</v>
      </c>
      <c r="T101" s="83" t="s">
        <v>165</v>
      </c>
      <c r="U101" s="83" t="s">
        <v>159</v>
      </c>
      <c r="V101" s="83" t="s">
        <v>160</v>
      </c>
      <c r="W101" s="113">
        <f t="shared" si="15"/>
        <v>30</v>
      </c>
      <c r="AA101" s="75" t="s">
        <v>108</v>
      </c>
      <c r="AB101" s="44">
        <v>0</v>
      </c>
    </row>
    <row r="102" spans="1:28" ht="15">
      <c r="A102" s="15" t="e">
        <f t="shared" si="16"/>
        <v>#REF!</v>
      </c>
      <c r="B102" s="15" t="s">
        <v>294</v>
      </c>
      <c r="C102" s="16">
        <v>2020</v>
      </c>
      <c r="D102" s="75" t="s">
        <v>15</v>
      </c>
      <c r="E102" s="16" t="s">
        <v>295</v>
      </c>
      <c r="F102" s="17">
        <v>34</v>
      </c>
      <c r="G102" s="75" t="s">
        <v>103</v>
      </c>
      <c r="H102" s="75" t="s">
        <v>104</v>
      </c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No</v>
      </c>
      <c r="J102" s="38">
        <v>26957</v>
      </c>
      <c r="K102" s="38">
        <v>26957</v>
      </c>
      <c r="L102" s="35">
        <v>0.97</v>
      </c>
      <c r="M102" s="78">
        <f t="shared" si="17"/>
        <v>27790.721649484538</v>
      </c>
      <c r="N102" s="79">
        <f t="shared" si="18"/>
        <v>0.97</v>
      </c>
      <c r="O102" s="80">
        <f t="shared" si="13"/>
        <v>0</v>
      </c>
      <c r="P102" s="19">
        <v>5022.24</v>
      </c>
      <c r="Q102" s="19">
        <v>0</v>
      </c>
      <c r="R102" s="81">
        <f t="shared" si="14"/>
        <v>5022.24</v>
      </c>
      <c r="S102" s="82">
        <f t="shared" si="19"/>
        <v>2.4243100368332913</v>
      </c>
      <c r="T102" s="83" t="s">
        <v>161</v>
      </c>
      <c r="U102" s="83" t="s">
        <v>159</v>
      </c>
      <c r="V102" s="83" t="s">
        <v>160</v>
      </c>
      <c r="W102" s="113">
        <f t="shared" si="15"/>
        <v>45</v>
      </c>
      <c r="AA102" s="75" t="s">
        <v>108</v>
      </c>
      <c r="AB102" s="44">
        <v>1872</v>
      </c>
    </row>
    <row r="103" spans="1:28" ht="15">
      <c r="A103" s="15" t="e">
        <f t="shared" si="16"/>
        <v>#REF!</v>
      </c>
      <c r="B103" s="15" t="s">
        <v>296</v>
      </c>
      <c r="C103" s="16">
        <v>2010</v>
      </c>
      <c r="D103" s="75" t="s">
        <v>54</v>
      </c>
      <c r="E103" s="16" t="s">
        <v>297</v>
      </c>
      <c r="F103" s="17">
        <v>12</v>
      </c>
      <c r="G103" s="75" t="s">
        <v>110</v>
      </c>
      <c r="H103" s="75" t="s">
        <v>104</v>
      </c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No</v>
      </c>
      <c r="J103" s="37">
        <v>10350</v>
      </c>
      <c r="K103" s="37">
        <v>10350</v>
      </c>
      <c r="L103" s="35">
        <v>1</v>
      </c>
      <c r="M103" s="78">
        <f t="shared" si="17"/>
        <v>10350</v>
      </c>
      <c r="N103" s="79">
        <f t="shared" si="18"/>
        <v>1</v>
      </c>
      <c r="O103" s="80">
        <f t="shared" si="13"/>
        <v>0</v>
      </c>
      <c r="P103" s="19">
        <v>4351.2800000000007</v>
      </c>
      <c r="Q103" s="19">
        <v>789</v>
      </c>
      <c r="R103" s="81">
        <f t="shared" si="14"/>
        <v>5140.2800000000007</v>
      </c>
      <c r="S103" s="82">
        <f t="shared" si="19"/>
        <v>25.706884135282198</v>
      </c>
      <c r="T103" s="83" t="s">
        <v>162</v>
      </c>
      <c r="U103" s="83" t="s">
        <v>159</v>
      </c>
      <c r="V103" s="83" t="s">
        <v>160</v>
      </c>
      <c r="W103" s="113">
        <f t="shared" si="15"/>
        <v>30</v>
      </c>
      <c r="AA103" s="75" t="s">
        <v>104</v>
      </c>
      <c r="AB103" s="44"/>
    </row>
    <row r="104" spans="1:28" ht="15">
      <c r="A104" s="15" t="e">
        <f t="shared" si="16"/>
        <v>#REF!</v>
      </c>
      <c r="B104" s="15" t="s">
        <v>298</v>
      </c>
      <c r="C104" s="16">
        <v>2021</v>
      </c>
      <c r="D104" s="75" t="s">
        <v>54</v>
      </c>
      <c r="E104" s="16" t="s">
        <v>299</v>
      </c>
      <c r="F104" s="17">
        <v>87</v>
      </c>
      <c r="G104" s="75" t="s">
        <v>120</v>
      </c>
      <c r="H104" s="75" t="s">
        <v>104</v>
      </c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No</v>
      </c>
      <c r="J104" s="37">
        <v>33857</v>
      </c>
      <c r="K104" s="37">
        <v>33857</v>
      </c>
      <c r="L104" s="35">
        <v>0.96</v>
      </c>
      <c r="M104" s="78">
        <f t="shared" si="17"/>
        <v>35267.708333333336</v>
      </c>
      <c r="N104" s="79">
        <f t="shared" si="18"/>
        <v>0.96</v>
      </c>
      <c r="O104" s="80">
        <f t="shared" si="13"/>
        <v>0</v>
      </c>
      <c r="P104" s="19">
        <v>3450</v>
      </c>
      <c r="Q104" s="19">
        <v>9203.0499999999993</v>
      </c>
      <c r="R104" s="81">
        <f t="shared" si="14"/>
        <v>12653.05</v>
      </c>
      <c r="S104" s="82">
        <f t="shared" si="19"/>
        <v>1.7218879953912609</v>
      </c>
      <c r="T104" s="83" t="s">
        <v>164</v>
      </c>
      <c r="U104" s="83" t="s">
        <v>166</v>
      </c>
      <c r="V104" s="83" t="s">
        <v>160</v>
      </c>
      <c r="W104" s="113">
        <f t="shared" si="15"/>
        <v>90</v>
      </c>
      <c r="AA104" s="75" t="s">
        <v>108</v>
      </c>
      <c r="AB104" s="44">
        <v>1000</v>
      </c>
    </row>
    <row r="105" spans="1:28" ht="15">
      <c r="A105" s="15" t="e">
        <f t="shared" si="16"/>
        <v>#REF!</v>
      </c>
      <c r="B105" s="15" t="s">
        <v>300</v>
      </c>
      <c r="C105" s="16">
        <v>2022</v>
      </c>
      <c r="D105" s="75" t="s">
        <v>30</v>
      </c>
      <c r="E105" s="16" t="s">
        <v>301</v>
      </c>
      <c r="F105" s="17">
        <v>24</v>
      </c>
      <c r="G105" s="75" t="s">
        <v>110</v>
      </c>
      <c r="H105" s="75" t="s">
        <v>104</v>
      </c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No</v>
      </c>
      <c r="J105" s="37">
        <v>46348</v>
      </c>
      <c r="K105" s="37">
        <v>46348</v>
      </c>
      <c r="L105" s="35">
        <v>1</v>
      </c>
      <c r="M105" s="78">
        <f t="shared" si="17"/>
        <v>46348</v>
      </c>
      <c r="N105" s="79">
        <f t="shared" si="18"/>
        <v>1</v>
      </c>
      <c r="O105" s="80">
        <f t="shared" si="13"/>
        <v>0</v>
      </c>
      <c r="P105" s="19">
        <v>4301.2299999999996</v>
      </c>
      <c r="Q105" s="19">
        <v>571.39</v>
      </c>
      <c r="R105" s="81">
        <f t="shared" si="14"/>
        <v>4872.62</v>
      </c>
      <c r="S105" s="82">
        <f t="shared" si="19"/>
        <v>1.7382857232553177</v>
      </c>
      <c r="T105" s="83" t="s">
        <v>163</v>
      </c>
      <c r="U105" s="83" t="s">
        <v>166</v>
      </c>
      <c r="V105" s="83" t="s">
        <v>160</v>
      </c>
      <c r="W105" s="113">
        <f t="shared" si="15"/>
        <v>30</v>
      </c>
      <c r="AA105" s="75" t="s">
        <v>108</v>
      </c>
      <c r="AB105" s="44">
        <v>0</v>
      </c>
    </row>
    <row r="106" spans="1:28" ht="15">
      <c r="A106" s="15" t="e">
        <f t="shared" si="16"/>
        <v>#REF!</v>
      </c>
      <c r="B106" s="15" t="s">
        <v>302</v>
      </c>
      <c r="C106" s="16">
        <v>2017</v>
      </c>
      <c r="D106" s="75" t="s">
        <v>26</v>
      </c>
      <c r="E106" s="16" t="s">
        <v>303</v>
      </c>
      <c r="F106" s="17">
        <v>27</v>
      </c>
      <c r="G106" s="75" t="s">
        <v>110</v>
      </c>
      <c r="H106" s="75" t="s">
        <v>104</v>
      </c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No</v>
      </c>
      <c r="J106" s="37">
        <v>15738</v>
      </c>
      <c r="K106" s="37">
        <v>15738</v>
      </c>
      <c r="L106" s="35">
        <v>0.99</v>
      </c>
      <c r="M106" s="78">
        <f t="shared" si="17"/>
        <v>15896.969696969698</v>
      </c>
      <c r="N106" s="79">
        <f t="shared" si="18"/>
        <v>0.99</v>
      </c>
      <c r="O106" s="80">
        <f t="shared" si="13"/>
        <v>0</v>
      </c>
      <c r="P106" s="19">
        <v>3865.85</v>
      </c>
      <c r="Q106" s="19">
        <v>748.26</v>
      </c>
      <c r="R106" s="81">
        <f t="shared" si="14"/>
        <v>4614.1099999999997</v>
      </c>
      <c r="S106" s="82">
        <f t="shared" si="19"/>
        <v>5.1819987674234804</v>
      </c>
      <c r="T106" s="83" t="s">
        <v>161</v>
      </c>
      <c r="U106" s="83" t="s">
        <v>159</v>
      </c>
      <c r="V106" s="83" t="s">
        <v>160</v>
      </c>
      <c r="W106" s="113">
        <f t="shared" si="15"/>
        <v>30</v>
      </c>
      <c r="AA106" s="75" t="s">
        <v>108</v>
      </c>
      <c r="AB106" s="44">
        <v>1000</v>
      </c>
    </row>
    <row r="107" spans="1:28" s="129" customFormat="1" ht="15">
      <c r="A107" s="115" t="e">
        <f t="shared" si="16"/>
        <v>#REF!</v>
      </c>
      <c r="B107" s="115" t="s">
        <v>304</v>
      </c>
      <c r="C107" s="116">
        <v>2014</v>
      </c>
      <c r="D107" s="117" t="s">
        <v>47</v>
      </c>
      <c r="E107" s="116">
        <v>1500</v>
      </c>
      <c r="F107" s="118">
        <v>7</v>
      </c>
      <c r="G107" s="117" t="s">
        <v>120</v>
      </c>
      <c r="H107" s="117" t="s">
        <v>104</v>
      </c>
      <c r="I107" s="119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No</v>
      </c>
      <c r="J107" s="120">
        <v>21000</v>
      </c>
      <c r="K107" s="120">
        <v>21000</v>
      </c>
      <c r="L107" s="35">
        <v>1</v>
      </c>
      <c r="M107" s="121">
        <f t="shared" si="17"/>
        <v>21000</v>
      </c>
      <c r="N107" s="122">
        <f t="shared" si="18"/>
        <v>1</v>
      </c>
      <c r="O107" s="123">
        <f t="shared" si="13"/>
        <v>0</v>
      </c>
      <c r="P107" s="124">
        <v>6010.71</v>
      </c>
      <c r="Q107" s="124">
        <v>0</v>
      </c>
      <c r="R107" s="125">
        <f t="shared" si="14"/>
        <v>6010.71</v>
      </c>
      <c r="S107" s="126">
        <f t="shared" si="19"/>
        <v>20.622873302966891</v>
      </c>
      <c r="T107" s="127" t="s">
        <v>161</v>
      </c>
      <c r="U107" s="127" t="s">
        <v>159</v>
      </c>
      <c r="V107" s="127" t="s">
        <v>160</v>
      </c>
      <c r="W107" s="128">
        <f t="shared" si="15"/>
        <v>30</v>
      </c>
      <c r="AA107" s="117" t="s">
        <v>108</v>
      </c>
      <c r="AB107" s="130">
        <v>0</v>
      </c>
    </row>
    <row r="108" spans="1:28" ht="15">
      <c r="A108" s="15" t="e">
        <f t="shared" si="16"/>
        <v>#REF!</v>
      </c>
      <c r="B108" s="15" t="s">
        <v>305</v>
      </c>
      <c r="C108" s="16">
        <v>2020</v>
      </c>
      <c r="D108" s="75" t="s">
        <v>17</v>
      </c>
      <c r="E108" s="16" t="s">
        <v>280</v>
      </c>
      <c r="F108" s="17">
        <v>18</v>
      </c>
      <c r="G108" s="75" t="s">
        <v>110</v>
      </c>
      <c r="H108" s="75" t="s">
        <v>104</v>
      </c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Yes</v>
      </c>
      <c r="J108" s="37">
        <v>39589</v>
      </c>
      <c r="K108" s="37">
        <v>39589</v>
      </c>
      <c r="L108" s="35">
        <v>0.99</v>
      </c>
      <c r="M108" s="78">
        <f t="shared" si="17"/>
        <v>39988.888888888891</v>
      </c>
      <c r="N108" s="79">
        <f t="shared" si="18"/>
        <v>0.99</v>
      </c>
      <c r="O108" s="80">
        <f t="shared" si="13"/>
        <v>0</v>
      </c>
      <c r="P108" s="19">
        <v>6686.13</v>
      </c>
      <c r="Q108" s="19">
        <v>4955.17</v>
      </c>
      <c r="R108" s="81">
        <f t="shared" si="14"/>
        <v>11641.3</v>
      </c>
      <c r="S108" s="82">
        <f t="shared" si="19"/>
        <v>7.0761608333862656</v>
      </c>
      <c r="T108" s="83" t="s">
        <v>163</v>
      </c>
      <c r="U108" s="83" t="s">
        <v>166</v>
      </c>
      <c r="V108" s="83" t="s">
        <v>160</v>
      </c>
      <c r="W108" s="113">
        <f t="shared" ref="W108:W139" si="20">IF(AND(F108&gt;0,F108&lt;=30),30,IF(AND(F108&gt;=31,F108&lt;=45),45,IF(AND(F108&gt;=46,F108&lt;=60),60,IF(AND(F108&gt;=61,F108&lt;=90),90,IF(F108&gt;=91,91,0)))))</f>
        <v>30</v>
      </c>
      <c r="AA108" s="75" t="s">
        <v>104</v>
      </c>
      <c r="AB108" s="44"/>
    </row>
    <row r="109" spans="1:28" ht="15">
      <c r="A109" s="15" t="e">
        <f t="shared" si="16"/>
        <v>#REF!</v>
      </c>
      <c r="B109" s="15" t="s">
        <v>306</v>
      </c>
      <c r="C109" s="16">
        <v>2021</v>
      </c>
      <c r="D109" s="75" t="s">
        <v>17</v>
      </c>
      <c r="E109" s="16" t="s">
        <v>248</v>
      </c>
      <c r="F109" s="17">
        <v>7</v>
      </c>
      <c r="G109" s="75" t="s">
        <v>109</v>
      </c>
      <c r="H109" s="75" t="s">
        <v>104</v>
      </c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Yes</v>
      </c>
      <c r="J109" s="37">
        <v>27677</v>
      </c>
      <c r="K109" s="37">
        <v>27677</v>
      </c>
      <c r="L109" s="35">
        <v>1</v>
      </c>
      <c r="M109" s="78">
        <f t="shared" si="17"/>
        <v>27677</v>
      </c>
      <c r="N109" s="79">
        <f t="shared" si="18"/>
        <v>1</v>
      </c>
      <c r="O109" s="80">
        <f t="shared" si="13"/>
        <v>0</v>
      </c>
      <c r="P109" s="19">
        <v>3522.53</v>
      </c>
      <c r="Q109" s="19">
        <v>6204</v>
      </c>
      <c r="R109" s="81">
        <f t="shared" si="14"/>
        <v>9726.5300000000007</v>
      </c>
      <c r="S109" s="82">
        <f t="shared" si="19"/>
        <v>20.709274219518907</v>
      </c>
      <c r="T109" s="83" t="s">
        <v>162</v>
      </c>
      <c r="U109" s="83" t="s">
        <v>159</v>
      </c>
      <c r="V109" s="83" t="s">
        <v>160</v>
      </c>
      <c r="W109" s="113">
        <f t="shared" si="20"/>
        <v>30</v>
      </c>
      <c r="AA109" s="75" t="s">
        <v>108</v>
      </c>
      <c r="AB109" s="44">
        <v>-1960.47</v>
      </c>
    </row>
    <row r="110" spans="1:28" ht="15">
      <c r="A110" s="15" t="e">
        <f t="shared" si="16"/>
        <v>#REF!</v>
      </c>
      <c r="B110" s="15" t="s">
        <v>307</v>
      </c>
      <c r="C110" s="16">
        <v>2013</v>
      </c>
      <c r="D110" s="75" t="s">
        <v>15</v>
      </c>
      <c r="E110" s="16" t="s">
        <v>245</v>
      </c>
      <c r="F110" s="17">
        <v>11</v>
      </c>
      <c r="G110" s="75" t="s">
        <v>110</v>
      </c>
      <c r="H110" s="75" t="s">
        <v>104</v>
      </c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No</v>
      </c>
      <c r="J110" s="37">
        <v>12136</v>
      </c>
      <c r="K110" s="37">
        <v>12136</v>
      </c>
      <c r="L110" s="35">
        <v>0.99</v>
      </c>
      <c r="M110" s="78">
        <f t="shared" si="17"/>
        <v>12258.585858585859</v>
      </c>
      <c r="N110" s="79">
        <f t="shared" si="18"/>
        <v>0.99</v>
      </c>
      <c r="O110" s="80">
        <f t="shared" si="13"/>
        <v>0</v>
      </c>
      <c r="P110" s="19">
        <v>2570.31</v>
      </c>
      <c r="Q110" s="19">
        <v>789</v>
      </c>
      <c r="R110" s="81">
        <f t="shared" si="14"/>
        <v>3359.31</v>
      </c>
      <c r="S110" s="82">
        <f t="shared" si="19"/>
        <v>11.493269648656241</v>
      </c>
      <c r="T110" s="83" t="s">
        <v>170</v>
      </c>
      <c r="U110" s="83" t="s">
        <v>159</v>
      </c>
      <c r="V110" s="83" t="s">
        <v>160</v>
      </c>
      <c r="W110" s="113">
        <f t="shared" si="20"/>
        <v>30</v>
      </c>
      <c r="AA110" s="75" t="s">
        <v>104</v>
      </c>
      <c r="AB110" s="44"/>
    </row>
    <row r="111" spans="1:28" ht="15">
      <c r="A111" s="15" t="e">
        <f t="shared" si="16"/>
        <v>#REF!</v>
      </c>
      <c r="B111" s="15" t="s">
        <v>308</v>
      </c>
      <c r="C111" s="16">
        <v>2016</v>
      </c>
      <c r="D111" s="75" t="s">
        <v>17</v>
      </c>
      <c r="E111" s="16" t="s">
        <v>309</v>
      </c>
      <c r="F111" s="17">
        <v>34</v>
      </c>
      <c r="G111" s="75" t="s">
        <v>112</v>
      </c>
      <c r="H111" s="75" t="s">
        <v>104</v>
      </c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Yes</v>
      </c>
      <c r="J111" s="37">
        <v>65999</v>
      </c>
      <c r="K111" s="37">
        <v>65999</v>
      </c>
      <c r="L111" s="35">
        <v>0.99</v>
      </c>
      <c r="M111" s="78">
        <f t="shared" si="17"/>
        <v>66665.656565656565</v>
      </c>
      <c r="N111" s="79">
        <f t="shared" si="18"/>
        <v>0.99</v>
      </c>
      <c r="O111" s="80">
        <f t="shared" si="13"/>
        <v>0</v>
      </c>
      <c r="P111" s="19">
        <v>8499</v>
      </c>
      <c r="Q111" s="19">
        <v>1746.06</v>
      </c>
      <c r="R111" s="81">
        <f t="shared" si="14"/>
        <v>10245.06</v>
      </c>
      <c r="S111" s="82">
        <f t="shared" si="19"/>
        <v>1.8865583631713554</v>
      </c>
      <c r="T111" s="83" t="s">
        <v>164</v>
      </c>
      <c r="U111" s="83" t="s">
        <v>159</v>
      </c>
      <c r="V111" s="83" t="s">
        <v>160</v>
      </c>
      <c r="W111" s="113">
        <f t="shared" si="20"/>
        <v>45</v>
      </c>
      <c r="AA111" s="75" t="s">
        <v>108</v>
      </c>
      <c r="AB111" s="44">
        <v>1000</v>
      </c>
    </row>
    <row r="112" spans="1:28" ht="15">
      <c r="A112" s="15" t="e">
        <f t="shared" si="16"/>
        <v>#REF!</v>
      </c>
      <c r="B112" s="15" t="s">
        <v>310</v>
      </c>
      <c r="C112" s="16">
        <v>2008</v>
      </c>
      <c r="D112" s="75" t="s">
        <v>43</v>
      </c>
      <c r="E112" s="16" t="s">
        <v>311</v>
      </c>
      <c r="F112" s="17">
        <v>5</v>
      </c>
      <c r="G112" s="75" t="s">
        <v>112</v>
      </c>
      <c r="H112" s="75" t="s">
        <v>104</v>
      </c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No</v>
      </c>
      <c r="J112" s="37">
        <v>20088</v>
      </c>
      <c r="K112" s="37">
        <v>20088</v>
      </c>
      <c r="L112" s="35">
        <v>1</v>
      </c>
      <c r="M112" s="78">
        <f t="shared" si="17"/>
        <v>20088</v>
      </c>
      <c r="N112" s="79">
        <f t="shared" si="18"/>
        <v>1</v>
      </c>
      <c r="O112" s="80">
        <f t="shared" si="13"/>
        <v>0</v>
      </c>
      <c r="P112" s="19">
        <v>6791.63</v>
      </c>
      <c r="Q112" s="19">
        <v>4042.8</v>
      </c>
      <c r="R112" s="81">
        <f t="shared" si="14"/>
        <v>10834.43</v>
      </c>
      <c r="S112" s="82">
        <f t="shared" si="19"/>
        <v>58.66856593190473</v>
      </c>
      <c r="T112" s="83" t="s">
        <v>164</v>
      </c>
      <c r="U112" s="83" t="s">
        <v>159</v>
      </c>
      <c r="V112" s="83" t="s">
        <v>160</v>
      </c>
      <c r="W112" s="113">
        <f t="shared" si="20"/>
        <v>30</v>
      </c>
      <c r="AA112" s="75" t="s">
        <v>104</v>
      </c>
      <c r="AB112" s="44"/>
    </row>
    <row r="113" spans="1:29" ht="15">
      <c r="A113" s="15" t="e">
        <f t="shared" si="16"/>
        <v>#REF!</v>
      </c>
      <c r="B113" s="15" t="s">
        <v>312</v>
      </c>
      <c r="C113" s="16">
        <v>2011</v>
      </c>
      <c r="D113" s="75" t="s">
        <v>18</v>
      </c>
      <c r="E113" s="16" t="s">
        <v>207</v>
      </c>
      <c r="F113" s="17">
        <v>8</v>
      </c>
      <c r="G113" s="75" t="s">
        <v>120</v>
      </c>
      <c r="H113" s="75" t="s">
        <v>104</v>
      </c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No</v>
      </c>
      <c r="J113" s="37">
        <v>15000</v>
      </c>
      <c r="K113" s="37">
        <v>15000</v>
      </c>
      <c r="L113" s="35">
        <v>1.02</v>
      </c>
      <c r="M113" s="78">
        <f t="shared" si="17"/>
        <v>14705.882352941177</v>
      </c>
      <c r="N113" s="79">
        <f t="shared" si="18"/>
        <v>1.02</v>
      </c>
      <c r="O113" s="80">
        <f t="shared" si="13"/>
        <v>0</v>
      </c>
      <c r="P113" s="19">
        <v>2716.85</v>
      </c>
      <c r="Q113" s="19">
        <v>95.14</v>
      </c>
      <c r="R113" s="81">
        <f t="shared" si="14"/>
        <v>2811.99</v>
      </c>
      <c r="S113" s="82">
        <f t="shared" si="19"/>
        <v>10.301881032145664</v>
      </c>
      <c r="T113" s="83" t="s">
        <v>165</v>
      </c>
      <c r="U113" s="83" t="s">
        <v>166</v>
      </c>
      <c r="V113" s="83" t="s">
        <v>160</v>
      </c>
      <c r="W113" s="113">
        <f t="shared" si="20"/>
        <v>30</v>
      </c>
      <c r="AA113" s="75" t="s">
        <v>108</v>
      </c>
      <c r="AB113" s="44">
        <v>0</v>
      </c>
    </row>
    <row r="114" spans="1:29" ht="15">
      <c r="A114" s="15" t="e">
        <f t="shared" si="16"/>
        <v>#REF!</v>
      </c>
      <c r="B114" s="15" t="s">
        <v>313</v>
      </c>
      <c r="C114" s="16">
        <v>2017</v>
      </c>
      <c r="D114" s="75" t="s">
        <v>9</v>
      </c>
      <c r="E114" s="16" t="s">
        <v>314</v>
      </c>
      <c r="F114" s="17">
        <v>60</v>
      </c>
      <c r="G114" s="75" t="s">
        <v>112</v>
      </c>
      <c r="H114" s="75" t="s">
        <v>104</v>
      </c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No</v>
      </c>
      <c r="J114" s="37">
        <v>28250</v>
      </c>
      <c r="K114" s="37">
        <v>28250</v>
      </c>
      <c r="L114" s="35">
        <v>1</v>
      </c>
      <c r="M114" s="78">
        <f t="shared" si="17"/>
        <v>28250</v>
      </c>
      <c r="N114" s="79">
        <f t="shared" si="18"/>
        <v>1</v>
      </c>
      <c r="O114" s="80">
        <f t="shared" si="13"/>
        <v>0</v>
      </c>
      <c r="P114" s="19">
        <v>2771.81</v>
      </c>
      <c r="Q114" s="19">
        <v>704.4</v>
      </c>
      <c r="R114" s="81">
        <f t="shared" si="14"/>
        <v>3476.21</v>
      </c>
      <c r="S114" s="82">
        <f t="shared" si="19"/>
        <v>0.81863193578507731</v>
      </c>
      <c r="T114" s="83" t="s">
        <v>164</v>
      </c>
      <c r="U114" s="83" t="s">
        <v>166</v>
      </c>
      <c r="V114" s="83" t="s">
        <v>160</v>
      </c>
      <c r="W114" s="113">
        <f t="shared" si="20"/>
        <v>60</v>
      </c>
      <c r="AA114" s="75" t="s">
        <v>108</v>
      </c>
      <c r="AB114" s="44">
        <v>2000</v>
      </c>
    </row>
    <row r="115" spans="1:29" ht="15">
      <c r="A115" s="15" t="e">
        <f t="shared" si="16"/>
        <v>#REF!</v>
      </c>
      <c r="B115" s="15" t="s">
        <v>315</v>
      </c>
      <c r="C115" s="16">
        <v>2020</v>
      </c>
      <c r="D115" s="75" t="s">
        <v>17</v>
      </c>
      <c r="E115" s="16" t="s">
        <v>187</v>
      </c>
      <c r="F115" s="17">
        <v>17</v>
      </c>
      <c r="G115" s="75" t="s">
        <v>110</v>
      </c>
      <c r="H115" s="75" t="s">
        <v>104</v>
      </c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Yes</v>
      </c>
      <c r="J115" s="37">
        <v>40501</v>
      </c>
      <c r="K115" s="37">
        <v>40501</v>
      </c>
      <c r="L115" s="35">
        <v>1.02</v>
      </c>
      <c r="M115" s="78">
        <f t="shared" si="17"/>
        <v>39706.862745098042</v>
      </c>
      <c r="N115" s="79">
        <f t="shared" si="18"/>
        <v>1.02</v>
      </c>
      <c r="O115" s="80">
        <f t="shared" si="13"/>
        <v>0</v>
      </c>
      <c r="P115" s="19">
        <v>5658.13</v>
      </c>
      <c r="Q115" s="19">
        <v>1801.99</v>
      </c>
      <c r="R115" s="81">
        <f t="shared" si="14"/>
        <v>7460.12</v>
      </c>
      <c r="S115" s="82">
        <f t="shared" si="19"/>
        <v>4.5340413049988673</v>
      </c>
      <c r="T115" s="83" t="s">
        <v>161</v>
      </c>
      <c r="U115" s="83" t="s">
        <v>159</v>
      </c>
      <c r="V115" s="83" t="s">
        <v>160</v>
      </c>
      <c r="W115" s="113">
        <f t="shared" si="20"/>
        <v>30</v>
      </c>
      <c r="AA115" s="75" t="s">
        <v>104</v>
      </c>
      <c r="AB115" s="44"/>
    </row>
    <row r="116" spans="1:29" ht="15">
      <c r="A116" s="15" t="e">
        <f t="shared" si="16"/>
        <v>#REF!</v>
      </c>
      <c r="B116" s="15" t="s">
        <v>316</v>
      </c>
      <c r="C116" s="16">
        <v>2015</v>
      </c>
      <c r="D116" s="75" t="s">
        <v>17</v>
      </c>
      <c r="E116" s="16" t="s">
        <v>102</v>
      </c>
      <c r="F116" s="17">
        <v>8</v>
      </c>
      <c r="G116" s="75" t="s">
        <v>110</v>
      </c>
      <c r="H116" s="75" t="s">
        <v>104</v>
      </c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Yes</v>
      </c>
      <c r="J116" s="37">
        <v>16269</v>
      </c>
      <c r="K116" s="37">
        <v>16269</v>
      </c>
      <c r="L116" s="35">
        <v>1</v>
      </c>
      <c r="M116" s="78">
        <f t="shared" si="17"/>
        <v>16269</v>
      </c>
      <c r="N116" s="79">
        <f t="shared" si="18"/>
        <v>1</v>
      </c>
      <c r="O116" s="80">
        <f t="shared" si="13"/>
        <v>0</v>
      </c>
      <c r="P116" s="19">
        <v>3108.6800000000003</v>
      </c>
      <c r="Q116" s="19">
        <v>2915.82</v>
      </c>
      <c r="R116" s="81">
        <f t="shared" si="14"/>
        <v>6024.5</v>
      </c>
      <c r="S116" s="82">
        <f t="shared" si="19"/>
        <v>20.599993009288529</v>
      </c>
      <c r="T116" s="83" t="s">
        <v>163</v>
      </c>
      <c r="U116" s="83" t="s">
        <v>159</v>
      </c>
      <c r="V116" s="83" t="s">
        <v>160</v>
      </c>
      <c r="W116" s="113">
        <f t="shared" si="20"/>
        <v>30</v>
      </c>
      <c r="AA116" s="75" t="s">
        <v>104</v>
      </c>
      <c r="AB116" s="44"/>
    </row>
    <row r="117" spans="1:29" ht="15">
      <c r="A117" s="15" t="e">
        <f t="shared" si="16"/>
        <v>#REF!</v>
      </c>
      <c r="B117" s="15" t="s">
        <v>317</v>
      </c>
      <c r="C117" s="16">
        <v>2018</v>
      </c>
      <c r="D117" s="75" t="s">
        <v>17</v>
      </c>
      <c r="E117" s="16" t="s">
        <v>102</v>
      </c>
      <c r="F117" s="17">
        <v>60</v>
      </c>
      <c r="G117" s="75" t="s">
        <v>103</v>
      </c>
      <c r="H117" s="75" t="s">
        <v>104</v>
      </c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Yes</v>
      </c>
      <c r="J117" s="37">
        <v>17924</v>
      </c>
      <c r="K117" s="37">
        <v>17924</v>
      </c>
      <c r="L117" s="35">
        <v>0.96</v>
      </c>
      <c r="M117" s="78">
        <f t="shared" si="17"/>
        <v>18670.833333333336</v>
      </c>
      <c r="N117" s="79">
        <f t="shared" si="18"/>
        <v>0.95999999999999985</v>
      </c>
      <c r="O117" s="80">
        <f t="shared" si="13"/>
        <v>0</v>
      </c>
      <c r="P117" s="19">
        <v>527.45000000000005</v>
      </c>
      <c r="Q117" s="19">
        <v>2449.17</v>
      </c>
      <c r="R117" s="81">
        <f t="shared" si="14"/>
        <v>2976.62</v>
      </c>
      <c r="S117" s="82">
        <f t="shared" si="19"/>
        <v>1.0266242444622642</v>
      </c>
      <c r="T117" s="83" t="s">
        <v>175</v>
      </c>
      <c r="U117" s="83" t="s">
        <v>159</v>
      </c>
      <c r="V117" s="83" t="s">
        <v>160</v>
      </c>
      <c r="W117" s="113">
        <f t="shared" si="20"/>
        <v>60</v>
      </c>
      <c r="AA117" s="75" t="s">
        <v>108</v>
      </c>
      <c r="AB117" s="44">
        <v>611.41999999999996</v>
      </c>
    </row>
    <row r="118" spans="1:29" ht="15">
      <c r="A118" s="15" t="e">
        <f t="shared" si="16"/>
        <v>#REF!</v>
      </c>
      <c r="B118" s="15" t="s">
        <v>318</v>
      </c>
      <c r="C118" s="16">
        <v>2019</v>
      </c>
      <c r="D118" s="75" t="s">
        <v>21</v>
      </c>
      <c r="E118" s="16" t="s">
        <v>271</v>
      </c>
      <c r="F118" s="17">
        <v>1</v>
      </c>
      <c r="G118" s="75" t="s">
        <v>112</v>
      </c>
      <c r="H118" s="75" t="s">
        <v>104</v>
      </c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No</v>
      </c>
      <c r="J118" s="37">
        <v>26062</v>
      </c>
      <c r="K118" s="37">
        <v>26062</v>
      </c>
      <c r="L118" s="35">
        <v>0.99</v>
      </c>
      <c r="M118" s="78">
        <f t="shared" si="17"/>
        <v>26325.252525252527</v>
      </c>
      <c r="N118" s="79">
        <f t="shared" si="18"/>
        <v>0.99</v>
      </c>
      <c r="O118" s="80">
        <f t="shared" si="13"/>
        <v>0</v>
      </c>
      <c r="P118" s="19">
        <v>8070</v>
      </c>
      <c r="Q118" s="19">
        <v>2154</v>
      </c>
      <c r="R118" s="81">
        <f t="shared" si="14"/>
        <v>10224</v>
      </c>
      <c r="S118" s="82">
        <f t="shared" si="19"/>
        <v>204.57092040907068</v>
      </c>
      <c r="T118" s="83" t="s">
        <v>163</v>
      </c>
      <c r="U118" s="83" t="s">
        <v>159</v>
      </c>
      <c r="V118" s="83" t="s">
        <v>160</v>
      </c>
      <c r="W118" s="113">
        <f t="shared" si="20"/>
        <v>30</v>
      </c>
      <c r="AA118" s="75" t="s">
        <v>108</v>
      </c>
      <c r="AB118" s="44">
        <v>1938</v>
      </c>
    </row>
    <row r="119" spans="1:29" ht="15">
      <c r="A119" s="15" t="e">
        <f t="shared" si="16"/>
        <v>#REF!</v>
      </c>
      <c r="B119" s="15" t="s">
        <v>319</v>
      </c>
      <c r="C119" s="16">
        <v>2016</v>
      </c>
      <c r="D119" s="75" t="s">
        <v>23</v>
      </c>
      <c r="E119" s="16" t="s">
        <v>217</v>
      </c>
      <c r="F119" s="17">
        <v>17</v>
      </c>
      <c r="G119" s="75" t="s">
        <v>110</v>
      </c>
      <c r="H119" s="75" t="s">
        <v>104</v>
      </c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No</v>
      </c>
      <c r="J119" s="37">
        <v>27800</v>
      </c>
      <c r="K119" s="37">
        <v>27800</v>
      </c>
      <c r="L119" s="35">
        <v>0.98</v>
      </c>
      <c r="M119" s="78">
        <f t="shared" si="17"/>
        <v>28367.34693877551</v>
      </c>
      <c r="N119" s="79">
        <f t="shared" si="18"/>
        <v>0.98</v>
      </c>
      <c r="O119" s="80">
        <f t="shared" si="13"/>
        <v>0</v>
      </c>
      <c r="P119" s="19">
        <v>4418.6900000000005</v>
      </c>
      <c r="Q119" s="19">
        <v>412.75</v>
      </c>
      <c r="R119" s="81">
        <f t="shared" si="14"/>
        <v>4831.4400000000005</v>
      </c>
      <c r="S119" s="82">
        <f t="shared" si="19"/>
        <v>4.3758389525147887</v>
      </c>
      <c r="T119" s="83" t="s">
        <v>161</v>
      </c>
      <c r="U119" s="83" t="s">
        <v>159</v>
      </c>
      <c r="V119" s="83" t="s">
        <v>160</v>
      </c>
      <c r="W119" s="113">
        <f t="shared" si="20"/>
        <v>30</v>
      </c>
      <c r="AA119" s="75" t="s">
        <v>108</v>
      </c>
      <c r="AB119" s="44">
        <v>500</v>
      </c>
    </row>
    <row r="120" spans="1:29" ht="15">
      <c r="A120" s="15" t="e">
        <f t="shared" si="16"/>
        <v>#REF!</v>
      </c>
      <c r="B120" s="15" t="s">
        <v>320</v>
      </c>
      <c r="C120" s="16">
        <v>2019</v>
      </c>
      <c r="D120" s="75" t="s">
        <v>29</v>
      </c>
      <c r="E120" s="16" t="s">
        <v>168</v>
      </c>
      <c r="F120" s="17">
        <v>14</v>
      </c>
      <c r="G120" s="75" t="s">
        <v>110</v>
      </c>
      <c r="H120" s="75" t="s">
        <v>104</v>
      </c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No</v>
      </c>
      <c r="J120" s="37">
        <v>22917</v>
      </c>
      <c r="K120" s="37">
        <v>22917</v>
      </c>
      <c r="L120" s="35">
        <v>0.99</v>
      </c>
      <c r="M120" s="78">
        <f t="shared" si="17"/>
        <v>23148.484848484848</v>
      </c>
      <c r="N120" s="79">
        <f t="shared" si="18"/>
        <v>0.99</v>
      </c>
      <c r="O120" s="80">
        <f t="shared" si="13"/>
        <v>0</v>
      </c>
      <c r="P120" s="19">
        <v>3280.6400000000003</v>
      </c>
      <c r="Q120" s="19">
        <v>2596</v>
      </c>
      <c r="R120" s="81">
        <f t="shared" si="14"/>
        <v>5876.64</v>
      </c>
      <c r="S120" s="82">
        <f t="shared" si="19"/>
        <v>7.6956014251113753</v>
      </c>
      <c r="T120" s="83" t="s">
        <v>162</v>
      </c>
      <c r="U120" s="83" t="s">
        <v>159</v>
      </c>
      <c r="V120" s="83" t="s">
        <v>160</v>
      </c>
      <c r="W120" s="113">
        <f t="shared" si="20"/>
        <v>30</v>
      </c>
      <c r="AA120" s="75" t="s">
        <v>108</v>
      </c>
      <c r="AB120" s="44">
        <v>1000</v>
      </c>
    </row>
    <row r="121" spans="1:29" ht="15">
      <c r="A121" s="15" t="e">
        <f t="shared" si="16"/>
        <v>#REF!</v>
      </c>
      <c r="B121" s="15" t="s">
        <v>321</v>
      </c>
      <c r="C121" s="16">
        <v>2019</v>
      </c>
      <c r="D121" s="75" t="s">
        <v>21</v>
      </c>
      <c r="E121" s="16" t="s">
        <v>263</v>
      </c>
      <c r="F121" s="17">
        <v>57</v>
      </c>
      <c r="G121" s="75" t="s">
        <v>109</v>
      </c>
      <c r="H121" s="75" t="s">
        <v>104</v>
      </c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No</v>
      </c>
      <c r="J121" s="37">
        <v>21006</v>
      </c>
      <c r="K121" s="37">
        <v>21006</v>
      </c>
      <c r="L121" s="35">
        <v>1.01</v>
      </c>
      <c r="M121" s="78">
        <f t="shared" si="17"/>
        <v>20798.019801980197</v>
      </c>
      <c r="N121" s="79">
        <f t="shared" si="18"/>
        <v>1.01</v>
      </c>
      <c r="O121" s="80">
        <f t="shared" si="13"/>
        <v>0</v>
      </c>
      <c r="P121" s="19">
        <v>3596.48</v>
      </c>
      <c r="Q121" s="19">
        <v>4300.3500000000004</v>
      </c>
      <c r="R121" s="81">
        <f t="shared" si="14"/>
        <v>7896.83</v>
      </c>
      <c r="S121" s="82">
        <f t="shared" si="19"/>
        <v>2.8647955710136572</v>
      </c>
      <c r="T121" s="83" t="s">
        <v>161</v>
      </c>
      <c r="U121" s="83" t="s">
        <v>159</v>
      </c>
      <c r="V121" s="83" t="s">
        <v>160</v>
      </c>
      <c r="W121" s="113">
        <f t="shared" si="20"/>
        <v>60</v>
      </c>
      <c r="AA121" s="75" t="s">
        <v>108</v>
      </c>
      <c r="AB121" s="44">
        <v>1766.36</v>
      </c>
      <c r="AC121" s="51" t="s">
        <v>322</v>
      </c>
    </row>
    <row r="122" spans="1:29" ht="15">
      <c r="A122" s="15" t="e">
        <f t="shared" si="16"/>
        <v>#REF!</v>
      </c>
      <c r="B122" s="15" t="s">
        <v>323</v>
      </c>
      <c r="C122" s="16">
        <v>2018</v>
      </c>
      <c r="D122" s="75" t="s">
        <v>17</v>
      </c>
      <c r="E122" s="16" t="s">
        <v>192</v>
      </c>
      <c r="F122" s="17">
        <v>22</v>
      </c>
      <c r="G122" s="75" t="s">
        <v>109</v>
      </c>
      <c r="H122" s="75" t="s">
        <v>104</v>
      </c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Yes</v>
      </c>
      <c r="J122" s="37">
        <v>22000</v>
      </c>
      <c r="K122" s="37">
        <v>22000</v>
      </c>
      <c r="L122" s="35">
        <v>1</v>
      </c>
      <c r="M122" s="78">
        <f t="shared" si="17"/>
        <v>22000</v>
      </c>
      <c r="N122" s="79">
        <f t="shared" si="18"/>
        <v>1</v>
      </c>
      <c r="O122" s="80">
        <f t="shared" si="13"/>
        <v>0</v>
      </c>
      <c r="P122" s="19">
        <v>1660</v>
      </c>
      <c r="Q122" s="19">
        <v>2265.79</v>
      </c>
      <c r="R122" s="81">
        <f t="shared" si="14"/>
        <v>3925.79</v>
      </c>
      <c r="S122" s="82">
        <f t="shared" si="19"/>
        <v>3.1583185840707961</v>
      </c>
      <c r="T122" s="83" t="s">
        <v>163</v>
      </c>
      <c r="U122" s="83" t="s">
        <v>166</v>
      </c>
      <c r="V122" s="83" t="s">
        <v>160</v>
      </c>
      <c r="W122" s="113">
        <f t="shared" si="20"/>
        <v>30</v>
      </c>
      <c r="AA122" s="75" t="s">
        <v>108</v>
      </c>
      <c r="AB122" s="44">
        <v>500</v>
      </c>
    </row>
    <row r="123" spans="1:29" ht="15">
      <c r="A123" s="15" t="e">
        <f t="shared" si="16"/>
        <v>#REF!</v>
      </c>
      <c r="B123" s="15" t="s">
        <v>324</v>
      </c>
      <c r="C123" s="16">
        <v>2021</v>
      </c>
      <c r="D123" s="75" t="s">
        <v>24</v>
      </c>
      <c r="E123" s="16" t="s">
        <v>278</v>
      </c>
      <c r="F123" s="17">
        <v>60</v>
      </c>
      <c r="G123" s="75" t="s">
        <v>103</v>
      </c>
      <c r="H123" s="75" t="s">
        <v>104</v>
      </c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No</v>
      </c>
      <c r="J123" s="37">
        <v>27984</v>
      </c>
      <c r="K123" s="37">
        <v>27984</v>
      </c>
      <c r="L123" s="35">
        <v>1.01</v>
      </c>
      <c r="M123" s="78">
        <f t="shared" si="17"/>
        <v>27706.930693069306</v>
      </c>
      <c r="N123" s="79">
        <f t="shared" si="18"/>
        <v>1.01</v>
      </c>
      <c r="O123" s="80">
        <f t="shared" si="13"/>
        <v>0</v>
      </c>
      <c r="P123" s="19">
        <v>2283.2399999999998</v>
      </c>
      <c r="Q123" s="19">
        <v>1121.17</v>
      </c>
      <c r="R123" s="81">
        <f t="shared" si="14"/>
        <v>3404.41</v>
      </c>
      <c r="S123" s="82">
        <f t="shared" si="19"/>
        <v>0.79478038781732518</v>
      </c>
      <c r="T123" s="83" t="s">
        <v>175</v>
      </c>
      <c r="U123" s="83" t="s">
        <v>159</v>
      </c>
      <c r="V123" s="83" t="s">
        <v>160</v>
      </c>
      <c r="W123" s="113">
        <f t="shared" si="20"/>
        <v>60</v>
      </c>
      <c r="AA123" s="75" t="s">
        <v>108</v>
      </c>
      <c r="AB123" s="44">
        <v>500</v>
      </c>
    </row>
    <row r="124" spans="1:29" s="129" customFormat="1" ht="15">
      <c r="A124" s="115" t="e">
        <f t="shared" si="16"/>
        <v>#REF!</v>
      </c>
      <c r="B124" s="115" t="s">
        <v>325</v>
      </c>
      <c r="C124" s="116">
        <v>2023</v>
      </c>
      <c r="D124" s="117" t="s">
        <v>23</v>
      </c>
      <c r="E124" s="116" t="s">
        <v>326</v>
      </c>
      <c r="F124" s="118">
        <v>98</v>
      </c>
      <c r="G124" s="117" t="s">
        <v>109</v>
      </c>
      <c r="H124" s="117" t="s">
        <v>104</v>
      </c>
      <c r="I124" s="119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No</v>
      </c>
      <c r="J124" s="138">
        <v>46745</v>
      </c>
      <c r="K124" s="138">
        <v>46745</v>
      </c>
      <c r="L124" s="35">
        <v>1</v>
      </c>
      <c r="M124" s="121">
        <f t="shared" si="17"/>
        <v>46745</v>
      </c>
      <c r="N124" s="122">
        <f t="shared" si="18"/>
        <v>1</v>
      </c>
      <c r="O124" s="123">
        <f t="shared" si="13"/>
        <v>0</v>
      </c>
      <c r="P124" s="124">
        <v>2100</v>
      </c>
      <c r="Q124" s="124">
        <v>240</v>
      </c>
      <c r="R124" s="125">
        <f t="shared" si="14"/>
        <v>2340</v>
      </c>
      <c r="S124" s="126">
        <f t="shared" si="19"/>
        <v>0.19253932954075348</v>
      </c>
      <c r="T124" s="127" t="s">
        <v>164</v>
      </c>
      <c r="U124" s="127" t="s">
        <v>159</v>
      </c>
      <c r="V124" s="127" t="s">
        <v>160</v>
      </c>
      <c r="W124" s="128">
        <f t="shared" si="20"/>
        <v>91</v>
      </c>
      <c r="AA124" s="117" t="s">
        <v>104</v>
      </c>
      <c r="AB124" s="130"/>
    </row>
    <row r="125" spans="1:29" ht="15">
      <c r="A125" s="15" t="e">
        <f t="shared" si="16"/>
        <v>#REF!</v>
      </c>
      <c r="B125" s="15" t="s">
        <v>327</v>
      </c>
      <c r="C125" s="16">
        <v>2016</v>
      </c>
      <c r="D125" s="75" t="s">
        <v>17</v>
      </c>
      <c r="E125" s="16" t="s">
        <v>174</v>
      </c>
      <c r="F125" s="17">
        <v>14</v>
      </c>
      <c r="G125" s="75" t="s">
        <v>120</v>
      </c>
      <c r="H125" s="75" t="s">
        <v>104</v>
      </c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Yes</v>
      </c>
      <c r="J125" s="38">
        <v>11146</v>
      </c>
      <c r="K125" s="38">
        <v>11146</v>
      </c>
      <c r="L125" s="35">
        <v>1.01</v>
      </c>
      <c r="M125" s="78">
        <f t="shared" si="17"/>
        <v>11035.643564356436</v>
      </c>
      <c r="N125" s="79">
        <f t="shared" si="18"/>
        <v>1.01</v>
      </c>
      <c r="O125" s="80">
        <f t="shared" si="13"/>
        <v>0</v>
      </c>
      <c r="P125" s="19">
        <v>3141.5</v>
      </c>
      <c r="Q125" s="19">
        <v>789</v>
      </c>
      <c r="R125" s="81">
        <f t="shared" si="14"/>
        <v>3930.5</v>
      </c>
      <c r="S125" s="82">
        <f t="shared" si="19"/>
        <v>12.626647510775189</v>
      </c>
      <c r="T125" s="83" t="s">
        <v>170</v>
      </c>
      <c r="U125" s="83" t="s">
        <v>159</v>
      </c>
      <c r="V125" s="83" t="s">
        <v>160</v>
      </c>
      <c r="W125" s="113">
        <f t="shared" si="20"/>
        <v>30</v>
      </c>
      <c r="AA125" s="75" t="s">
        <v>108</v>
      </c>
      <c r="AB125" s="44">
        <v>0</v>
      </c>
    </row>
    <row r="126" spans="1:29" ht="15">
      <c r="A126" s="15" t="e">
        <f t="shared" si="16"/>
        <v>#REF!</v>
      </c>
      <c r="B126" s="15" t="s">
        <v>328</v>
      </c>
      <c r="C126" s="16">
        <v>2016</v>
      </c>
      <c r="D126" s="75" t="s">
        <v>17</v>
      </c>
      <c r="E126" s="16" t="s">
        <v>329</v>
      </c>
      <c r="F126" s="17">
        <v>3</v>
      </c>
      <c r="G126" s="75" t="s">
        <v>110</v>
      </c>
      <c r="H126" s="75" t="s">
        <v>104</v>
      </c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Yes</v>
      </c>
      <c r="J126" s="38">
        <v>15143</v>
      </c>
      <c r="K126" s="38">
        <v>15143</v>
      </c>
      <c r="L126" s="35">
        <v>0.99</v>
      </c>
      <c r="M126" s="78">
        <f t="shared" si="17"/>
        <v>15295.959595959595</v>
      </c>
      <c r="N126" s="79">
        <f t="shared" si="18"/>
        <v>0.99</v>
      </c>
      <c r="O126" s="80">
        <f t="shared" si="13"/>
        <v>0</v>
      </c>
      <c r="P126" s="19">
        <v>3240.16</v>
      </c>
      <c r="Q126" s="19">
        <v>1700</v>
      </c>
      <c r="R126" s="81">
        <f t="shared" si="14"/>
        <v>4940.16</v>
      </c>
      <c r="S126" s="82">
        <f t="shared" si="19"/>
        <v>49.804853295516025</v>
      </c>
      <c r="T126" s="83" t="s">
        <v>161</v>
      </c>
      <c r="U126" s="83" t="s">
        <v>166</v>
      </c>
      <c r="V126" s="83" t="s">
        <v>160</v>
      </c>
      <c r="W126" s="113">
        <f t="shared" si="20"/>
        <v>30</v>
      </c>
      <c r="AA126" s="75" t="s">
        <v>104</v>
      </c>
      <c r="AB126" s="44"/>
    </row>
    <row r="127" spans="1:29" ht="15">
      <c r="A127" s="15" t="e">
        <f t="shared" si="16"/>
        <v>#REF!</v>
      </c>
      <c r="B127" s="15" t="s">
        <v>330</v>
      </c>
      <c r="C127" s="16">
        <v>2016</v>
      </c>
      <c r="D127" s="75" t="s">
        <v>21</v>
      </c>
      <c r="E127" s="16" t="s">
        <v>331</v>
      </c>
      <c r="F127" s="17">
        <v>33</v>
      </c>
      <c r="G127" s="75" t="s">
        <v>120</v>
      </c>
      <c r="H127" s="75" t="s">
        <v>104</v>
      </c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No</v>
      </c>
      <c r="J127" s="38">
        <v>42000</v>
      </c>
      <c r="K127" s="38">
        <v>42000</v>
      </c>
      <c r="L127" s="35">
        <v>0.98</v>
      </c>
      <c r="M127" s="78">
        <f t="shared" si="17"/>
        <v>42857.142857142855</v>
      </c>
      <c r="N127" s="79">
        <f t="shared" si="18"/>
        <v>0.98000000000000009</v>
      </c>
      <c r="O127" s="80">
        <f t="shared" si="13"/>
        <v>0</v>
      </c>
      <c r="P127" s="19">
        <v>5452.66</v>
      </c>
      <c r="Q127" s="19">
        <v>290</v>
      </c>
      <c r="R127" s="81">
        <f t="shared" si="14"/>
        <v>5742.66</v>
      </c>
      <c r="S127" s="82">
        <f t="shared" si="19"/>
        <v>1.7141384297735487</v>
      </c>
      <c r="T127" s="83" t="s">
        <v>163</v>
      </c>
      <c r="U127" s="83" t="s">
        <v>159</v>
      </c>
      <c r="V127" s="83" t="s">
        <v>160</v>
      </c>
      <c r="W127" s="113">
        <f t="shared" si="20"/>
        <v>45</v>
      </c>
      <c r="AA127" s="75" t="s">
        <v>108</v>
      </c>
      <c r="AB127" s="44">
        <v>1500</v>
      </c>
    </row>
    <row r="128" spans="1:29" ht="15">
      <c r="A128" s="15" t="e">
        <f t="shared" si="16"/>
        <v>#REF!</v>
      </c>
      <c r="B128" s="15" t="s">
        <v>333</v>
      </c>
      <c r="C128" s="16">
        <v>2021</v>
      </c>
      <c r="D128" s="75" t="s">
        <v>23</v>
      </c>
      <c r="E128" s="16" t="s">
        <v>332</v>
      </c>
      <c r="F128" s="17">
        <v>73</v>
      </c>
      <c r="G128" s="75" t="s">
        <v>109</v>
      </c>
      <c r="H128" s="75" t="s">
        <v>104</v>
      </c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No</v>
      </c>
      <c r="J128" s="37">
        <v>71000</v>
      </c>
      <c r="K128" s="37">
        <v>71000</v>
      </c>
      <c r="L128" s="35">
        <v>0.97</v>
      </c>
      <c r="M128" s="78">
        <f t="shared" si="17"/>
        <v>73195.876288659798</v>
      </c>
      <c r="N128" s="79">
        <f t="shared" si="18"/>
        <v>0.97</v>
      </c>
      <c r="O128" s="80">
        <f t="shared" si="13"/>
        <v>0</v>
      </c>
      <c r="P128" s="19">
        <v>3494.16</v>
      </c>
      <c r="Q128" s="19">
        <v>290</v>
      </c>
      <c r="R128" s="81">
        <f t="shared" si="14"/>
        <v>3784.16</v>
      </c>
      <c r="S128" s="82">
        <f t="shared" si="19"/>
        <v>0.27644439294295298</v>
      </c>
      <c r="T128" s="83" t="s">
        <v>162</v>
      </c>
      <c r="U128" s="83" t="s">
        <v>159</v>
      </c>
      <c r="V128" s="83" t="s">
        <v>160</v>
      </c>
      <c r="W128" s="113">
        <f t="shared" si="20"/>
        <v>90</v>
      </c>
      <c r="AA128" s="75" t="s">
        <v>108</v>
      </c>
      <c r="AB128" s="44">
        <v>2000</v>
      </c>
    </row>
    <row r="129" spans="1:28" ht="15">
      <c r="A129" s="15" t="e">
        <f t="shared" si="16"/>
        <v>#REF!</v>
      </c>
      <c r="B129" s="15" t="s">
        <v>334</v>
      </c>
      <c r="C129" s="16">
        <v>2021</v>
      </c>
      <c r="D129" s="75" t="s">
        <v>29</v>
      </c>
      <c r="E129" s="16" t="s">
        <v>335</v>
      </c>
      <c r="F129" s="17">
        <v>1</v>
      </c>
      <c r="G129" s="75" t="s">
        <v>109</v>
      </c>
      <c r="H129" s="75" t="s">
        <v>104</v>
      </c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No</v>
      </c>
      <c r="J129" s="38">
        <v>48500</v>
      </c>
      <c r="K129" s="38">
        <v>48500</v>
      </c>
      <c r="L129" s="35">
        <v>1</v>
      </c>
      <c r="M129" s="78">
        <f t="shared" si="17"/>
        <v>48500</v>
      </c>
      <c r="N129" s="79">
        <f t="shared" si="18"/>
        <v>1</v>
      </c>
      <c r="O129" s="80">
        <f t="shared" si="13"/>
        <v>0</v>
      </c>
      <c r="P129" s="19">
        <v>1975</v>
      </c>
      <c r="Q129" s="19">
        <v>517.28</v>
      </c>
      <c r="R129" s="81">
        <f t="shared" si="14"/>
        <v>2492.2799999999997</v>
      </c>
      <c r="S129" s="82">
        <f t="shared" si="19"/>
        <v>19.284702847931218</v>
      </c>
      <c r="T129" s="83" t="s">
        <v>161</v>
      </c>
      <c r="U129" s="83" t="s">
        <v>159</v>
      </c>
      <c r="V129" s="83" t="s">
        <v>160</v>
      </c>
      <c r="W129" s="113">
        <f t="shared" si="20"/>
        <v>30</v>
      </c>
      <c r="AA129" s="75" t="s">
        <v>108</v>
      </c>
      <c r="AB129" s="44">
        <v>0</v>
      </c>
    </row>
    <row r="130" spans="1:28" ht="15">
      <c r="A130" s="15" t="e">
        <f t="shared" si="16"/>
        <v>#REF!</v>
      </c>
      <c r="B130" s="15" t="s">
        <v>336</v>
      </c>
      <c r="C130" s="16">
        <v>2016</v>
      </c>
      <c r="D130" s="75" t="s">
        <v>19</v>
      </c>
      <c r="E130" s="16" t="s">
        <v>337</v>
      </c>
      <c r="F130" s="17">
        <v>21</v>
      </c>
      <c r="G130" s="75" t="s">
        <v>109</v>
      </c>
      <c r="H130" s="75" t="s">
        <v>104</v>
      </c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No</v>
      </c>
      <c r="J130" s="38">
        <v>14118.14</v>
      </c>
      <c r="K130" s="38">
        <v>14118.14</v>
      </c>
      <c r="L130" s="35">
        <v>1</v>
      </c>
      <c r="M130" s="78">
        <f t="shared" si="17"/>
        <v>14118.14</v>
      </c>
      <c r="N130" s="79">
        <f t="shared" si="18"/>
        <v>1</v>
      </c>
      <c r="O130" s="80">
        <f t="shared" si="13"/>
        <v>0</v>
      </c>
      <c r="P130" s="19">
        <v>-2627.46</v>
      </c>
      <c r="Q130" s="19">
        <v>4600</v>
      </c>
      <c r="R130" s="81">
        <f t="shared" si="14"/>
        <v>1972.54</v>
      </c>
      <c r="S130" s="82">
        <f t="shared" si="19"/>
        <v>2.0193347164969562</v>
      </c>
      <c r="T130" s="83" t="s">
        <v>162</v>
      </c>
      <c r="U130" s="83" t="s">
        <v>166</v>
      </c>
      <c r="V130" s="83" t="s">
        <v>160</v>
      </c>
      <c r="W130" s="113">
        <f t="shared" si="20"/>
        <v>30</v>
      </c>
      <c r="AA130" s="75" t="s">
        <v>104</v>
      </c>
      <c r="AB130" s="44"/>
    </row>
    <row r="131" spans="1:28" ht="15">
      <c r="A131" s="15" t="e">
        <f t="shared" si="16"/>
        <v>#REF!</v>
      </c>
      <c r="B131" s="15" t="s">
        <v>338</v>
      </c>
      <c r="C131" s="16">
        <v>2019</v>
      </c>
      <c r="D131" s="75" t="s">
        <v>47</v>
      </c>
      <c r="E131" s="16">
        <v>1500</v>
      </c>
      <c r="F131" s="17">
        <v>1</v>
      </c>
      <c r="G131" s="75" t="s">
        <v>120</v>
      </c>
      <c r="H131" s="75" t="s">
        <v>104</v>
      </c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No</v>
      </c>
      <c r="J131" s="38">
        <v>31500</v>
      </c>
      <c r="K131" s="38">
        <v>31500</v>
      </c>
      <c r="L131" s="35">
        <v>1.01</v>
      </c>
      <c r="M131" s="78">
        <f t="shared" si="17"/>
        <v>31188.118811881188</v>
      </c>
      <c r="N131" s="79">
        <f t="shared" si="18"/>
        <v>1.01</v>
      </c>
      <c r="O131" s="80">
        <f t="shared" si="13"/>
        <v>0</v>
      </c>
      <c r="P131" s="19">
        <v>5417.24</v>
      </c>
      <c r="Q131" s="19">
        <v>2763.5</v>
      </c>
      <c r="R131" s="81">
        <f t="shared" si="14"/>
        <v>8180.74</v>
      </c>
      <c r="S131" s="82">
        <f t="shared" si="19"/>
        <v>112.91237583752638</v>
      </c>
      <c r="T131" s="83" t="s">
        <v>161</v>
      </c>
      <c r="U131" s="83" t="s">
        <v>159</v>
      </c>
      <c r="V131" s="83" t="s">
        <v>160</v>
      </c>
      <c r="W131" s="113">
        <f t="shared" si="20"/>
        <v>30</v>
      </c>
      <c r="AA131" s="75" t="s">
        <v>108</v>
      </c>
      <c r="AB131" s="44">
        <v>913.24</v>
      </c>
    </row>
    <row r="132" spans="1:28" ht="15">
      <c r="A132" s="15" t="e">
        <f t="shared" si="16"/>
        <v>#REF!</v>
      </c>
      <c r="B132" s="15" t="s">
        <v>339</v>
      </c>
      <c r="C132" s="16">
        <v>2022</v>
      </c>
      <c r="D132" s="75" t="s">
        <v>21</v>
      </c>
      <c r="E132" s="16" t="s">
        <v>340</v>
      </c>
      <c r="F132" s="17">
        <v>78</v>
      </c>
      <c r="G132" s="75" t="s">
        <v>120</v>
      </c>
      <c r="H132" s="75" t="s">
        <v>104</v>
      </c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No</v>
      </c>
      <c r="J132" s="37">
        <v>30500</v>
      </c>
      <c r="K132" s="37">
        <v>30500</v>
      </c>
      <c r="L132" s="35">
        <v>1</v>
      </c>
      <c r="M132" s="78">
        <f t="shared" si="17"/>
        <v>30500</v>
      </c>
      <c r="N132" s="79">
        <f t="shared" si="18"/>
        <v>1</v>
      </c>
      <c r="O132" s="80">
        <f t="shared" si="13"/>
        <v>0</v>
      </c>
      <c r="P132" s="19">
        <v>2851</v>
      </c>
      <c r="Q132" s="19">
        <v>5497.67</v>
      </c>
      <c r="R132" s="81">
        <f t="shared" si="14"/>
        <v>8348.67</v>
      </c>
      <c r="S132" s="82">
        <f t="shared" si="19"/>
        <v>1.393624473829906</v>
      </c>
      <c r="T132" s="83" t="s">
        <v>162</v>
      </c>
      <c r="U132" s="83" t="s">
        <v>166</v>
      </c>
      <c r="V132" s="83" t="s">
        <v>160</v>
      </c>
      <c r="W132" s="113">
        <f t="shared" si="20"/>
        <v>90</v>
      </c>
      <c r="AA132" s="75" t="s">
        <v>108</v>
      </c>
      <c r="AB132" s="44">
        <v>1000</v>
      </c>
    </row>
    <row r="133" spans="1:28" ht="15">
      <c r="A133" s="15" t="e">
        <f t="shared" si="16"/>
        <v>#REF!</v>
      </c>
      <c r="B133" s="15" t="s">
        <v>341</v>
      </c>
      <c r="C133" s="16">
        <v>2021</v>
      </c>
      <c r="D133" s="75" t="s">
        <v>47</v>
      </c>
      <c r="E133" s="16" t="s">
        <v>342</v>
      </c>
      <c r="F133" s="17">
        <v>66</v>
      </c>
      <c r="G133" s="75" t="s">
        <v>120</v>
      </c>
      <c r="H133" s="75" t="s">
        <v>104</v>
      </c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No</v>
      </c>
      <c r="J133" s="37">
        <v>33900</v>
      </c>
      <c r="K133" s="37">
        <v>33900</v>
      </c>
      <c r="L133" s="35">
        <v>1.05</v>
      </c>
      <c r="M133" s="78">
        <f t="shared" si="17"/>
        <v>32285.714285714283</v>
      </c>
      <c r="N133" s="79">
        <f t="shared" si="18"/>
        <v>1.05</v>
      </c>
      <c r="O133" s="80">
        <f t="shared" si="13"/>
        <v>0</v>
      </c>
      <c r="P133" s="19">
        <v>1654.81</v>
      </c>
      <c r="Q133" s="19">
        <v>240</v>
      </c>
      <c r="R133" s="81">
        <f t="shared" si="14"/>
        <v>1894.81</v>
      </c>
      <c r="S133" s="82">
        <f t="shared" si="19"/>
        <v>0.32052306941678033</v>
      </c>
      <c r="T133" s="83" t="s">
        <v>163</v>
      </c>
      <c r="U133" s="83" t="s">
        <v>166</v>
      </c>
      <c r="V133" s="83" t="s">
        <v>160</v>
      </c>
      <c r="W133" s="113">
        <f t="shared" si="20"/>
        <v>90</v>
      </c>
      <c r="AA133" s="75" t="s">
        <v>104</v>
      </c>
      <c r="AB133" s="44"/>
    </row>
    <row r="134" spans="1:28" ht="15">
      <c r="A134" s="15" t="e">
        <f t="shared" si="16"/>
        <v>#REF!</v>
      </c>
      <c r="B134" s="15" t="s">
        <v>343</v>
      </c>
      <c r="C134" s="16">
        <v>2017</v>
      </c>
      <c r="D134" s="75" t="s">
        <v>23</v>
      </c>
      <c r="E134" s="16" t="s">
        <v>231</v>
      </c>
      <c r="F134" s="17">
        <v>12</v>
      </c>
      <c r="G134" s="75" t="s">
        <v>110</v>
      </c>
      <c r="H134" s="75" t="s">
        <v>104</v>
      </c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No</v>
      </c>
      <c r="J134" s="1">
        <v>18261</v>
      </c>
      <c r="K134" s="1">
        <v>18261</v>
      </c>
      <c r="L134" s="35">
        <v>1</v>
      </c>
      <c r="M134" s="78">
        <f t="shared" si="17"/>
        <v>18261</v>
      </c>
      <c r="N134" s="79">
        <f t="shared" si="18"/>
        <v>1</v>
      </c>
      <c r="O134" s="80">
        <f t="shared" si="13"/>
        <v>0</v>
      </c>
      <c r="P134" s="19">
        <v>2139.15</v>
      </c>
      <c r="Q134" s="19">
        <v>8218.81</v>
      </c>
      <c r="R134" s="81">
        <f t="shared" si="14"/>
        <v>10357.959999999999</v>
      </c>
      <c r="S134" s="82">
        <f t="shared" si="19"/>
        <v>19.274388485192453</v>
      </c>
      <c r="T134" s="83" t="s">
        <v>163</v>
      </c>
      <c r="U134" s="83" t="s">
        <v>159</v>
      </c>
      <c r="V134" s="83" t="s">
        <v>160</v>
      </c>
      <c r="W134" s="113">
        <f t="shared" si="20"/>
        <v>30</v>
      </c>
      <c r="AA134" s="75" t="s">
        <v>108</v>
      </c>
      <c r="AB134" s="44">
        <v>0</v>
      </c>
    </row>
    <row r="135" spans="1:28" ht="15">
      <c r="A135" s="15" t="e">
        <f t="shared" si="16"/>
        <v>#REF!</v>
      </c>
      <c r="B135" s="15" t="s">
        <v>344</v>
      </c>
      <c r="C135" s="16">
        <v>2015</v>
      </c>
      <c r="D135" s="75" t="s">
        <v>17</v>
      </c>
      <c r="E135" s="16" t="s">
        <v>102</v>
      </c>
      <c r="F135" s="17">
        <v>66</v>
      </c>
      <c r="G135" s="75" t="s">
        <v>110</v>
      </c>
      <c r="H135" s="75" t="s">
        <v>104</v>
      </c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Yes</v>
      </c>
      <c r="J135" s="18">
        <v>11231</v>
      </c>
      <c r="K135" s="18">
        <v>11231</v>
      </c>
      <c r="L135" s="35">
        <v>1.03</v>
      </c>
      <c r="M135" s="78">
        <f t="shared" si="17"/>
        <v>10903.88349514563</v>
      </c>
      <c r="N135" s="79">
        <f t="shared" si="18"/>
        <v>1.03</v>
      </c>
      <c r="O135" s="80">
        <f t="shared" si="13"/>
        <v>0</v>
      </c>
      <c r="P135" s="19">
        <v>805.01</v>
      </c>
      <c r="Q135" s="19">
        <v>798.7</v>
      </c>
      <c r="R135" s="81">
        <f t="shared" si="14"/>
        <v>1603.71</v>
      </c>
      <c r="S135" s="82">
        <f t="shared" si="19"/>
        <v>0.83900992528374674</v>
      </c>
      <c r="T135" s="83" t="s">
        <v>164</v>
      </c>
      <c r="U135" s="83" t="s">
        <v>166</v>
      </c>
      <c r="V135" s="83" t="s">
        <v>160</v>
      </c>
      <c r="W135" s="113">
        <f t="shared" si="20"/>
        <v>90</v>
      </c>
      <c r="AA135" s="75" t="s">
        <v>104</v>
      </c>
      <c r="AB135" s="44"/>
    </row>
    <row r="136" spans="1:28" ht="15">
      <c r="A136" s="15" t="e">
        <f t="shared" si="16"/>
        <v>#REF!</v>
      </c>
      <c r="B136" s="15" t="s">
        <v>345</v>
      </c>
      <c r="C136" s="16">
        <v>2021</v>
      </c>
      <c r="D136" s="75" t="s">
        <v>17</v>
      </c>
      <c r="E136" s="16" t="s">
        <v>102</v>
      </c>
      <c r="F136" s="17">
        <v>1</v>
      </c>
      <c r="G136" s="75" t="s">
        <v>109</v>
      </c>
      <c r="H136" s="75" t="s">
        <v>104</v>
      </c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Yes</v>
      </c>
      <c r="J136" s="18">
        <v>22599.8</v>
      </c>
      <c r="K136" s="18">
        <v>22599.8</v>
      </c>
      <c r="L136" s="35">
        <v>1</v>
      </c>
      <c r="M136" s="78">
        <f t="shared" si="17"/>
        <v>22599.8</v>
      </c>
      <c r="N136" s="79">
        <f t="shared" si="18"/>
        <v>1</v>
      </c>
      <c r="O136" s="80">
        <f t="shared" si="13"/>
        <v>0</v>
      </c>
      <c r="P136" s="19">
        <v>1350</v>
      </c>
      <c r="Q136" s="19">
        <v>202.11199999999999</v>
      </c>
      <c r="R136" s="81">
        <f t="shared" si="14"/>
        <v>1552.1120000000001</v>
      </c>
      <c r="S136" s="82">
        <f t="shared" si="19"/>
        <v>26.294850775066124</v>
      </c>
      <c r="T136" s="83" t="s">
        <v>175</v>
      </c>
      <c r="U136" s="83" t="s">
        <v>159</v>
      </c>
      <c r="V136" s="83" t="s">
        <v>160</v>
      </c>
      <c r="W136" s="113">
        <f t="shared" si="20"/>
        <v>30</v>
      </c>
      <c r="AA136" s="75" t="s">
        <v>104</v>
      </c>
      <c r="AB136" s="44"/>
    </row>
    <row r="137" spans="1:28" ht="15">
      <c r="A137" s="15" t="e">
        <f t="shared" si="16"/>
        <v>#REF!</v>
      </c>
      <c r="B137" s="15" t="s">
        <v>346</v>
      </c>
      <c r="C137" s="16">
        <v>2020</v>
      </c>
      <c r="D137" s="75" t="s">
        <v>17</v>
      </c>
      <c r="E137" s="16" t="s">
        <v>248</v>
      </c>
      <c r="F137" s="17">
        <v>28</v>
      </c>
      <c r="G137" s="75" t="s">
        <v>120</v>
      </c>
      <c r="H137" s="75" t="s">
        <v>104</v>
      </c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Yes</v>
      </c>
      <c r="J137" s="1">
        <v>27590</v>
      </c>
      <c r="K137" s="1">
        <v>27590</v>
      </c>
      <c r="L137" s="35">
        <v>1.02</v>
      </c>
      <c r="M137" s="78">
        <f t="shared" si="17"/>
        <v>27049.019607843136</v>
      </c>
      <c r="N137" s="79">
        <f t="shared" si="18"/>
        <v>1.02</v>
      </c>
      <c r="O137" s="80">
        <f t="shared" si="13"/>
        <v>0</v>
      </c>
      <c r="P137" s="19">
        <v>2750</v>
      </c>
      <c r="Q137" s="19">
        <v>240</v>
      </c>
      <c r="R137" s="81">
        <f t="shared" si="14"/>
        <v>2990</v>
      </c>
      <c r="S137" s="82">
        <f t="shared" si="19"/>
        <v>1.5476190476190477</v>
      </c>
      <c r="T137" s="83" t="s">
        <v>161</v>
      </c>
      <c r="U137" s="83" t="s">
        <v>159</v>
      </c>
      <c r="V137" s="83" t="s">
        <v>160</v>
      </c>
      <c r="W137" s="113">
        <f t="shared" si="20"/>
        <v>30</v>
      </c>
      <c r="AA137" s="75" t="s">
        <v>108</v>
      </c>
      <c r="AB137" s="44">
        <v>1400</v>
      </c>
    </row>
    <row r="138" spans="1:28" ht="15">
      <c r="A138" s="15" t="e">
        <f t="shared" si="16"/>
        <v>#REF!</v>
      </c>
      <c r="B138" s="15" t="s">
        <v>347</v>
      </c>
      <c r="C138" s="16">
        <v>2018</v>
      </c>
      <c r="D138" s="75" t="s">
        <v>21</v>
      </c>
      <c r="E138" s="16" t="s">
        <v>263</v>
      </c>
      <c r="F138" s="17">
        <v>48</v>
      </c>
      <c r="G138" s="75" t="s">
        <v>103</v>
      </c>
      <c r="H138" s="75" t="s">
        <v>104</v>
      </c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No</v>
      </c>
      <c r="J138" s="18">
        <v>20286</v>
      </c>
      <c r="K138" s="18">
        <v>20286</v>
      </c>
      <c r="L138" s="35">
        <v>0.99</v>
      </c>
      <c r="M138" s="78">
        <f t="shared" si="17"/>
        <v>20490.909090909092</v>
      </c>
      <c r="N138" s="79">
        <f t="shared" si="18"/>
        <v>0.99</v>
      </c>
      <c r="O138" s="80">
        <f t="shared" si="13"/>
        <v>0</v>
      </c>
      <c r="P138" s="19">
        <v>2349.9299999999998</v>
      </c>
      <c r="Q138" s="19">
        <v>290</v>
      </c>
      <c r="R138" s="81">
        <f t="shared" si="14"/>
        <v>2639.93</v>
      </c>
      <c r="S138" s="82">
        <f t="shared" si="19"/>
        <v>1.1038914879346478</v>
      </c>
      <c r="T138" s="83" t="s">
        <v>163</v>
      </c>
      <c r="U138" s="83" t="s">
        <v>159</v>
      </c>
      <c r="V138" s="83" t="s">
        <v>160</v>
      </c>
      <c r="W138" s="113">
        <f t="shared" si="20"/>
        <v>60</v>
      </c>
      <c r="AA138" s="75" t="s">
        <v>104</v>
      </c>
      <c r="AB138" s="44"/>
    </row>
    <row r="139" spans="1:28" ht="15">
      <c r="A139" s="15" t="e">
        <f t="shared" si="16"/>
        <v>#REF!</v>
      </c>
      <c r="B139" s="15" t="s">
        <v>348</v>
      </c>
      <c r="C139" s="16">
        <v>2015</v>
      </c>
      <c r="D139" s="75" t="s">
        <v>34</v>
      </c>
      <c r="E139" s="16" t="s">
        <v>349</v>
      </c>
      <c r="F139" s="17">
        <v>10</v>
      </c>
      <c r="G139" s="75" t="s">
        <v>110</v>
      </c>
      <c r="H139" s="75" t="s">
        <v>104</v>
      </c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No</v>
      </c>
      <c r="J139" s="1">
        <v>11884.5</v>
      </c>
      <c r="K139" s="1">
        <v>11884.5</v>
      </c>
      <c r="L139" s="35">
        <v>0.96</v>
      </c>
      <c r="M139" s="78">
        <f t="shared" si="17"/>
        <v>12379.6875</v>
      </c>
      <c r="N139" s="79">
        <f t="shared" si="18"/>
        <v>0.96</v>
      </c>
      <c r="O139" s="80">
        <f t="shared" si="13"/>
        <v>0</v>
      </c>
      <c r="P139" s="19">
        <v>3256.54</v>
      </c>
      <c r="Q139" s="19">
        <v>199</v>
      </c>
      <c r="R139" s="81">
        <f t="shared" si="14"/>
        <v>3455.54</v>
      </c>
      <c r="S139" s="82">
        <f t="shared" si="19"/>
        <v>14.418175327655671</v>
      </c>
      <c r="T139" s="83" t="s">
        <v>163</v>
      </c>
      <c r="U139" s="83" t="s">
        <v>166</v>
      </c>
      <c r="V139" s="83" t="s">
        <v>160</v>
      </c>
      <c r="W139" s="113">
        <f t="shared" si="20"/>
        <v>30</v>
      </c>
      <c r="AA139" s="75" t="s">
        <v>104</v>
      </c>
      <c r="AB139" s="44"/>
    </row>
    <row r="140" spans="1:28" ht="15">
      <c r="A140" s="15" t="e">
        <f t="shared" si="16"/>
        <v>#REF!</v>
      </c>
      <c r="B140" s="15" t="s">
        <v>350</v>
      </c>
      <c r="C140" s="16">
        <v>2018</v>
      </c>
      <c r="D140" s="75" t="s">
        <v>54</v>
      </c>
      <c r="E140" s="16" t="s">
        <v>299</v>
      </c>
      <c r="F140" s="17">
        <v>61</v>
      </c>
      <c r="G140" s="75" t="s">
        <v>112</v>
      </c>
      <c r="H140" s="75" t="s">
        <v>104</v>
      </c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No</v>
      </c>
      <c r="J140" s="1">
        <v>35753</v>
      </c>
      <c r="K140" s="1">
        <v>35753</v>
      </c>
      <c r="L140" s="35">
        <v>0.98</v>
      </c>
      <c r="M140" s="78">
        <f t="shared" si="17"/>
        <v>36482.65306122449</v>
      </c>
      <c r="N140" s="79">
        <f t="shared" si="18"/>
        <v>0.98</v>
      </c>
      <c r="O140" s="80">
        <f t="shared" ref="O140:O203" si="21">IF(K140=0,"BLANK",(J140-K140))</f>
        <v>0</v>
      </c>
      <c r="P140" s="19">
        <v>1549</v>
      </c>
      <c r="Q140" s="19">
        <v>3610.73</v>
      </c>
      <c r="R140" s="81">
        <f t="shared" ref="R140:R203" si="22">IF(K140=0,"BLANK",SUM(P140:Q140))</f>
        <v>5159.7299999999996</v>
      </c>
      <c r="S140" s="82">
        <f t="shared" si="19"/>
        <v>0.89027206098030898</v>
      </c>
      <c r="T140" s="83" t="s">
        <v>162</v>
      </c>
      <c r="U140" s="83" t="s">
        <v>166</v>
      </c>
      <c r="V140" s="83" t="s">
        <v>160</v>
      </c>
      <c r="W140" s="113">
        <f t="shared" ref="W140:W171" si="23">IF(AND(F140&gt;0,F140&lt;=30),30,IF(AND(F140&gt;=31,F140&lt;=45),45,IF(AND(F140&gt;=46,F140&lt;=60),60,IF(AND(F140&gt;=61,F140&lt;=90),90,IF(F140&gt;=91,91,0)))))</f>
        <v>90</v>
      </c>
      <c r="AA140" s="75" t="s">
        <v>108</v>
      </c>
      <c r="AB140" s="44">
        <v>500</v>
      </c>
    </row>
    <row r="141" spans="1:28" ht="15">
      <c r="A141" s="15" t="e">
        <f t="shared" si="16"/>
        <v>#REF!</v>
      </c>
      <c r="B141" s="15" t="s">
        <v>351</v>
      </c>
      <c r="C141" s="16">
        <v>2016</v>
      </c>
      <c r="D141" s="75" t="s">
        <v>21</v>
      </c>
      <c r="E141" s="16" t="s">
        <v>156</v>
      </c>
      <c r="F141" s="17">
        <v>14</v>
      </c>
      <c r="G141" s="75" t="s">
        <v>120</v>
      </c>
      <c r="H141" s="75" t="s">
        <v>104</v>
      </c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No</v>
      </c>
      <c r="J141" s="1">
        <v>23500</v>
      </c>
      <c r="K141" s="1">
        <v>23500</v>
      </c>
      <c r="L141" s="35">
        <v>0.99</v>
      </c>
      <c r="M141" s="78">
        <f t="shared" si="17"/>
        <v>23737.373737373739</v>
      </c>
      <c r="N141" s="79">
        <f t="shared" si="18"/>
        <v>0.99</v>
      </c>
      <c r="O141" s="80">
        <f t="shared" si="21"/>
        <v>0</v>
      </c>
      <c r="P141" s="19">
        <v>1962.0700000000002</v>
      </c>
      <c r="Q141" s="19">
        <v>789</v>
      </c>
      <c r="R141" s="81">
        <f t="shared" si="22"/>
        <v>2751.07</v>
      </c>
      <c r="S141" s="82">
        <f t="shared" si="19"/>
        <v>3.2845217715908634</v>
      </c>
      <c r="T141" s="83" t="s">
        <v>162</v>
      </c>
      <c r="U141" s="83" t="s">
        <v>166</v>
      </c>
      <c r="V141" s="83" t="s">
        <v>160</v>
      </c>
      <c r="W141" s="113">
        <f t="shared" si="23"/>
        <v>30</v>
      </c>
      <c r="AA141" s="75" t="s">
        <v>108</v>
      </c>
      <c r="AB141" s="44">
        <v>0</v>
      </c>
    </row>
    <row r="142" spans="1:28" ht="15">
      <c r="A142" s="15" t="e">
        <f t="shared" ref="A142:A205" si="24">A141+1</f>
        <v>#REF!</v>
      </c>
      <c r="B142" s="15" t="s">
        <v>352</v>
      </c>
      <c r="C142" s="16">
        <v>2014</v>
      </c>
      <c r="D142" s="75" t="s">
        <v>43</v>
      </c>
      <c r="E142" s="16" t="s">
        <v>353</v>
      </c>
      <c r="F142" s="17">
        <v>2</v>
      </c>
      <c r="G142" s="75" t="s">
        <v>110</v>
      </c>
      <c r="H142" s="75" t="s">
        <v>104</v>
      </c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No</v>
      </c>
      <c r="J142" s="18">
        <v>11417.21</v>
      </c>
      <c r="K142" s="18">
        <v>11417.21</v>
      </c>
      <c r="L142" s="35">
        <v>0.97</v>
      </c>
      <c r="M142" s="78">
        <f t="shared" ref="M142:M205" si="25">J142/L142</f>
        <v>11770.319587628865</v>
      </c>
      <c r="N142" s="79">
        <f t="shared" ref="N142:N205" si="26">K142/M142</f>
        <v>0.97000000000000008</v>
      </c>
      <c r="O142" s="80">
        <f t="shared" si="21"/>
        <v>0</v>
      </c>
      <c r="P142" s="19">
        <v>2417.21</v>
      </c>
      <c r="Q142" s="19">
        <v>0</v>
      </c>
      <c r="R142" s="81">
        <f t="shared" si="22"/>
        <v>2417.21</v>
      </c>
      <c r="S142" s="82">
        <f t="shared" ref="S142:S205" si="27">(R142/(K142-P142))*(360/F142)</f>
        <v>48.344199999999994</v>
      </c>
      <c r="T142" s="83" t="s">
        <v>161</v>
      </c>
      <c r="U142" s="83" t="s">
        <v>159</v>
      </c>
      <c r="V142" s="83" t="s">
        <v>160</v>
      </c>
      <c r="W142" s="113">
        <f t="shared" si="23"/>
        <v>30</v>
      </c>
      <c r="AA142" s="75" t="s">
        <v>104</v>
      </c>
      <c r="AB142" s="44"/>
    </row>
    <row r="143" spans="1:28" ht="15">
      <c r="A143" s="15" t="e">
        <f t="shared" si="24"/>
        <v>#REF!</v>
      </c>
      <c r="B143" s="15" t="s">
        <v>354</v>
      </c>
      <c r="C143" s="16">
        <v>2021</v>
      </c>
      <c r="D143" s="75" t="s">
        <v>19</v>
      </c>
      <c r="E143" s="16" t="s">
        <v>355</v>
      </c>
      <c r="F143" s="17">
        <v>25</v>
      </c>
      <c r="G143" s="75" t="s">
        <v>120</v>
      </c>
      <c r="H143" s="75" t="s">
        <v>104</v>
      </c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No</v>
      </c>
      <c r="J143" s="1">
        <v>45000</v>
      </c>
      <c r="K143" s="1">
        <v>45000</v>
      </c>
      <c r="L143" s="35">
        <v>0.96</v>
      </c>
      <c r="M143" s="78">
        <f t="shared" si="25"/>
        <v>46875</v>
      </c>
      <c r="N143" s="79">
        <f t="shared" si="26"/>
        <v>0.96</v>
      </c>
      <c r="O143" s="80">
        <f t="shared" si="21"/>
        <v>0</v>
      </c>
      <c r="P143" s="19">
        <v>6248.57</v>
      </c>
      <c r="Q143" s="19">
        <v>400.71</v>
      </c>
      <c r="R143" s="81">
        <f t="shared" si="22"/>
        <v>6649.28</v>
      </c>
      <c r="S143" s="82">
        <f t="shared" si="27"/>
        <v>2.4708670621961564</v>
      </c>
      <c r="T143" s="83" t="s">
        <v>161</v>
      </c>
      <c r="U143" s="83" t="s">
        <v>159</v>
      </c>
      <c r="V143" s="83" t="s">
        <v>160</v>
      </c>
      <c r="W143" s="113">
        <f t="shared" si="23"/>
        <v>30</v>
      </c>
      <c r="AA143" s="75" t="s">
        <v>108</v>
      </c>
      <c r="AB143" s="44">
        <v>600</v>
      </c>
    </row>
    <row r="144" spans="1:28" ht="15">
      <c r="A144" s="15" t="e">
        <f t="shared" si="24"/>
        <v>#REF!</v>
      </c>
      <c r="B144" s="15" t="s">
        <v>356</v>
      </c>
      <c r="C144" s="16">
        <v>2021</v>
      </c>
      <c r="D144" s="75" t="s">
        <v>43</v>
      </c>
      <c r="E144" s="16" t="s">
        <v>357</v>
      </c>
      <c r="F144" s="17">
        <v>81</v>
      </c>
      <c r="G144" s="75" t="s">
        <v>103</v>
      </c>
      <c r="H144" s="75" t="s">
        <v>104</v>
      </c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No</v>
      </c>
      <c r="J144" s="1">
        <v>38561</v>
      </c>
      <c r="K144" s="1">
        <v>38561</v>
      </c>
      <c r="L144" s="35">
        <v>1</v>
      </c>
      <c r="M144" s="78">
        <f t="shared" si="25"/>
        <v>38561</v>
      </c>
      <c r="N144" s="79">
        <f t="shared" si="26"/>
        <v>1</v>
      </c>
      <c r="O144" s="80">
        <f t="shared" si="21"/>
        <v>0</v>
      </c>
      <c r="P144" s="19">
        <v>3120.0299999999997</v>
      </c>
      <c r="Q144" s="19">
        <v>8486.91</v>
      </c>
      <c r="R144" s="81">
        <f t="shared" si="22"/>
        <v>11606.939999999999</v>
      </c>
      <c r="S144" s="82">
        <f t="shared" si="27"/>
        <v>1.4555583552030318</v>
      </c>
      <c r="T144" s="83" t="s">
        <v>175</v>
      </c>
      <c r="U144" s="83" t="s">
        <v>166</v>
      </c>
      <c r="V144" s="83" t="s">
        <v>160</v>
      </c>
      <c r="W144" s="113">
        <f t="shared" si="23"/>
        <v>90</v>
      </c>
      <c r="AA144" s="75" t="s">
        <v>108</v>
      </c>
      <c r="AB144" s="44">
        <v>0</v>
      </c>
    </row>
    <row r="145" spans="1:28" ht="15">
      <c r="A145" s="15" t="e">
        <f t="shared" si="24"/>
        <v>#REF!</v>
      </c>
      <c r="B145" s="15" t="s">
        <v>358</v>
      </c>
      <c r="C145" s="16">
        <v>2014</v>
      </c>
      <c r="D145" s="75" t="s">
        <v>17</v>
      </c>
      <c r="E145" s="16" t="s">
        <v>187</v>
      </c>
      <c r="F145" s="17">
        <v>60</v>
      </c>
      <c r="G145" s="75" t="s">
        <v>110</v>
      </c>
      <c r="H145" s="75" t="s">
        <v>104</v>
      </c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Yes</v>
      </c>
      <c r="J145" s="1">
        <v>19999</v>
      </c>
      <c r="K145" s="1">
        <v>19999</v>
      </c>
      <c r="L145" s="35">
        <v>0.95</v>
      </c>
      <c r="M145" s="78">
        <f t="shared" si="25"/>
        <v>21051.578947368424</v>
      </c>
      <c r="N145" s="79">
        <f t="shared" si="26"/>
        <v>0.94999999999999984</v>
      </c>
      <c r="O145" s="80">
        <f t="shared" si="21"/>
        <v>0</v>
      </c>
      <c r="P145" s="19">
        <v>579.61</v>
      </c>
      <c r="Q145" s="19">
        <v>3021.07</v>
      </c>
      <c r="R145" s="81">
        <f t="shared" si="22"/>
        <v>3600.6800000000003</v>
      </c>
      <c r="S145" s="82">
        <f t="shared" si="27"/>
        <v>1.1125004441437141</v>
      </c>
      <c r="T145" s="83" t="s">
        <v>175</v>
      </c>
      <c r="U145" s="83" t="s">
        <v>166</v>
      </c>
      <c r="V145" s="83" t="s">
        <v>160</v>
      </c>
      <c r="W145" s="113">
        <f t="shared" si="23"/>
        <v>60</v>
      </c>
      <c r="AA145" s="75" t="s">
        <v>104</v>
      </c>
      <c r="AB145" s="44"/>
    </row>
    <row r="146" spans="1:28" ht="15">
      <c r="A146" s="15" t="e">
        <f t="shared" si="24"/>
        <v>#REF!</v>
      </c>
      <c r="B146" s="15" t="s">
        <v>359</v>
      </c>
      <c r="C146" s="16">
        <v>2015</v>
      </c>
      <c r="D146" s="75" t="s">
        <v>29</v>
      </c>
      <c r="E146" s="16" t="s">
        <v>168</v>
      </c>
      <c r="F146" s="17">
        <v>47</v>
      </c>
      <c r="G146" s="75" t="s">
        <v>120</v>
      </c>
      <c r="H146" s="75" t="s">
        <v>104</v>
      </c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No</v>
      </c>
      <c r="J146" s="1">
        <v>17250</v>
      </c>
      <c r="K146" s="1">
        <v>17250</v>
      </c>
      <c r="L146" s="35">
        <v>1</v>
      </c>
      <c r="M146" s="78">
        <f t="shared" si="25"/>
        <v>17250</v>
      </c>
      <c r="N146" s="79">
        <f t="shared" si="26"/>
        <v>1</v>
      </c>
      <c r="O146" s="80">
        <f t="shared" si="21"/>
        <v>0</v>
      </c>
      <c r="P146" s="19">
        <v>2283.5</v>
      </c>
      <c r="Q146" s="19">
        <v>512.12</v>
      </c>
      <c r="R146" s="81">
        <f t="shared" si="22"/>
        <v>2795.62</v>
      </c>
      <c r="S146" s="82">
        <f t="shared" si="27"/>
        <v>1.4307459709663639</v>
      </c>
      <c r="T146" s="83" t="s">
        <v>163</v>
      </c>
      <c r="U146" s="83" t="s">
        <v>166</v>
      </c>
      <c r="V146" s="83" t="s">
        <v>160</v>
      </c>
      <c r="W146" s="113">
        <f t="shared" si="23"/>
        <v>60</v>
      </c>
      <c r="AA146" s="75" t="s">
        <v>108</v>
      </c>
      <c r="AB146" s="44"/>
    </row>
    <row r="147" spans="1:28" ht="15">
      <c r="A147" s="15" t="e">
        <f t="shared" si="24"/>
        <v>#REF!</v>
      </c>
      <c r="B147" s="15" t="s">
        <v>360</v>
      </c>
      <c r="C147" s="16">
        <v>2019</v>
      </c>
      <c r="D147" s="75" t="s">
        <v>29</v>
      </c>
      <c r="E147" s="16" t="s">
        <v>361</v>
      </c>
      <c r="F147" s="17">
        <v>1</v>
      </c>
      <c r="G147" s="75" t="s">
        <v>110</v>
      </c>
      <c r="H147" s="75" t="s">
        <v>104</v>
      </c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No</v>
      </c>
      <c r="J147" s="18">
        <v>36999</v>
      </c>
      <c r="K147" s="18">
        <v>36999</v>
      </c>
      <c r="L147" s="35">
        <v>0.97</v>
      </c>
      <c r="M147" s="78">
        <f t="shared" si="25"/>
        <v>38143.298969072166</v>
      </c>
      <c r="N147" s="79">
        <f t="shared" si="26"/>
        <v>0.97</v>
      </c>
      <c r="O147" s="80">
        <f t="shared" si="21"/>
        <v>0</v>
      </c>
      <c r="P147" s="19">
        <v>5999</v>
      </c>
      <c r="Q147" s="19">
        <v>1457.81</v>
      </c>
      <c r="R147" s="81">
        <f t="shared" si="22"/>
        <v>7456.8099999999995</v>
      </c>
      <c r="S147" s="82">
        <f t="shared" si="27"/>
        <v>86.5952129032258</v>
      </c>
      <c r="T147" s="83" t="s">
        <v>162</v>
      </c>
      <c r="U147" s="83" t="s">
        <v>159</v>
      </c>
      <c r="V147" s="83" t="s">
        <v>160</v>
      </c>
      <c r="W147" s="113">
        <f t="shared" si="23"/>
        <v>30</v>
      </c>
      <c r="AA147" s="75" t="s">
        <v>108</v>
      </c>
      <c r="AB147" s="44">
        <v>-1000</v>
      </c>
    </row>
    <row r="148" spans="1:28" ht="15">
      <c r="A148" s="15" t="e">
        <f t="shared" si="24"/>
        <v>#REF!</v>
      </c>
      <c r="B148" s="15" t="s">
        <v>308</v>
      </c>
      <c r="C148" s="16">
        <v>2016</v>
      </c>
      <c r="D148" s="75" t="s">
        <v>17</v>
      </c>
      <c r="E148" s="16" t="s">
        <v>309</v>
      </c>
      <c r="F148" s="17">
        <v>57</v>
      </c>
      <c r="G148" s="75" t="s">
        <v>112</v>
      </c>
      <c r="H148" s="75" t="s">
        <v>104</v>
      </c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Yes</v>
      </c>
      <c r="J148" s="1">
        <v>62999</v>
      </c>
      <c r="K148" s="1">
        <v>62999</v>
      </c>
      <c r="L148" s="35">
        <v>1</v>
      </c>
      <c r="M148" s="78">
        <f t="shared" si="25"/>
        <v>62999</v>
      </c>
      <c r="N148" s="79">
        <f t="shared" si="26"/>
        <v>1</v>
      </c>
      <c r="O148" s="80">
        <f t="shared" si="21"/>
        <v>0</v>
      </c>
      <c r="P148" s="19">
        <v>8499</v>
      </c>
      <c r="Q148" s="19">
        <v>1840</v>
      </c>
      <c r="R148" s="81">
        <f t="shared" si="22"/>
        <v>10339</v>
      </c>
      <c r="S148" s="82">
        <f t="shared" si="27"/>
        <v>1.1981458232737807</v>
      </c>
      <c r="T148" s="83" t="s">
        <v>161</v>
      </c>
      <c r="U148" s="83" t="s">
        <v>159</v>
      </c>
      <c r="V148" s="83" t="s">
        <v>160</v>
      </c>
      <c r="W148" s="113">
        <f t="shared" si="23"/>
        <v>60</v>
      </c>
      <c r="AA148" s="75" t="s">
        <v>108</v>
      </c>
      <c r="AB148" s="44">
        <v>4000</v>
      </c>
    </row>
    <row r="149" spans="1:28" ht="15">
      <c r="A149" s="15" t="e">
        <f t="shared" si="24"/>
        <v>#REF!</v>
      </c>
      <c r="B149" s="15" t="s">
        <v>362</v>
      </c>
      <c r="C149" s="16">
        <v>2021</v>
      </c>
      <c r="D149" s="75" t="s">
        <v>17</v>
      </c>
      <c r="E149" s="16" t="s">
        <v>363</v>
      </c>
      <c r="F149" s="17">
        <v>1</v>
      </c>
      <c r="G149" s="75" t="s">
        <v>110</v>
      </c>
      <c r="H149" s="75" t="s">
        <v>104</v>
      </c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Yes</v>
      </c>
      <c r="J149" s="1">
        <v>29999</v>
      </c>
      <c r="K149" s="1">
        <v>29999</v>
      </c>
      <c r="L149" s="35">
        <v>0.98</v>
      </c>
      <c r="M149" s="78">
        <f t="shared" si="25"/>
        <v>30611.224489795917</v>
      </c>
      <c r="N149" s="79">
        <f t="shared" si="26"/>
        <v>0.98000000000000009</v>
      </c>
      <c r="O149" s="80">
        <f t="shared" si="21"/>
        <v>0</v>
      </c>
      <c r="P149" s="19">
        <v>4999</v>
      </c>
      <c r="Q149" s="19">
        <v>1030.78</v>
      </c>
      <c r="R149" s="81">
        <f t="shared" si="22"/>
        <v>6029.78</v>
      </c>
      <c r="S149" s="82">
        <f t="shared" si="27"/>
        <v>86.828831999999991</v>
      </c>
      <c r="T149" s="83" t="s">
        <v>165</v>
      </c>
      <c r="U149" s="83" t="s">
        <v>166</v>
      </c>
      <c r="V149" s="83" t="s">
        <v>160</v>
      </c>
      <c r="W149" s="113">
        <f t="shared" si="23"/>
        <v>30</v>
      </c>
      <c r="AA149" s="75" t="s">
        <v>104</v>
      </c>
      <c r="AB149" s="44">
        <v>0</v>
      </c>
    </row>
    <row r="150" spans="1:28" ht="15">
      <c r="A150" s="15" t="e">
        <f t="shared" si="24"/>
        <v>#REF!</v>
      </c>
      <c r="B150" s="15" t="s">
        <v>364</v>
      </c>
      <c r="C150" s="16">
        <v>2018</v>
      </c>
      <c r="D150" s="75" t="s">
        <v>17</v>
      </c>
      <c r="E150" s="16" t="s">
        <v>187</v>
      </c>
      <c r="F150" s="17">
        <v>24</v>
      </c>
      <c r="G150" s="75" t="s">
        <v>112</v>
      </c>
      <c r="H150" s="75" t="s">
        <v>104</v>
      </c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Yes</v>
      </c>
      <c r="J150" s="18">
        <v>37083</v>
      </c>
      <c r="K150" s="18">
        <v>37083</v>
      </c>
      <c r="L150" s="35">
        <v>1</v>
      </c>
      <c r="M150" s="78">
        <f t="shared" si="25"/>
        <v>37083</v>
      </c>
      <c r="N150" s="79">
        <f t="shared" si="26"/>
        <v>1</v>
      </c>
      <c r="O150" s="80">
        <f t="shared" si="21"/>
        <v>0</v>
      </c>
      <c r="P150" s="19">
        <v>2028.6399999999999</v>
      </c>
      <c r="Q150" s="19">
        <v>1692.19</v>
      </c>
      <c r="R150" s="81">
        <f t="shared" si="22"/>
        <v>3720.83</v>
      </c>
      <c r="S150" s="82">
        <f t="shared" si="27"/>
        <v>1.5921685633399096</v>
      </c>
      <c r="T150" s="83" t="s">
        <v>162</v>
      </c>
      <c r="U150" s="83" t="s">
        <v>166</v>
      </c>
      <c r="V150" s="83" t="s">
        <v>160</v>
      </c>
      <c r="W150" s="113">
        <f t="shared" si="23"/>
        <v>30</v>
      </c>
      <c r="AA150" s="75" t="s">
        <v>108</v>
      </c>
      <c r="AB150" s="44">
        <v>0</v>
      </c>
    </row>
    <row r="151" spans="1:28" ht="15">
      <c r="A151" s="15" t="e">
        <f t="shared" si="24"/>
        <v>#REF!</v>
      </c>
      <c r="B151" s="15" t="s">
        <v>365</v>
      </c>
      <c r="C151" s="16">
        <v>2015</v>
      </c>
      <c r="D151" s="75" t="s">
        <v>17</v>
      </c>
      <c r="E151" s="16" t="s">
        <v>329</v>
      </c>
      <c r="F151" s="17">
        <v>13</v>
      </c>
      <c r="G151" s="75" t="s">
        <v>110</v>
      </c>
      <c r="H151" s="75" t="s">
        <v>104</v>
      </c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Yes</v>
      </c>
      <c r="J151" s="18">
        <v>13541</v>
      </c>
      <c r="K151" s="18">
        <v>13541</v>
      </c>
      <c r="L151" s="35">
        <v>0.99</v>
      </c>
      <c r="M151" s="78">
        <f t="shared" si="25"/>
        <v>13677.777777777777</v>
      </c>
      <c r="N151" s="79">
        <f t="shared" si="26"/>
        <v>0.99</v>
      </c>
      <c r="O151" s="80">
        <f t="shared" si="21"/>
        <v>0</v>
      </c>
      <c r="P151" s="19">
        <v>6098.13</v>
      </c>
      <c r="Q151" s="19">
        <v>1993.1</v>
      </c>
      <c r="R151" s="81">
        <f t="shared" si="22"/>
        <v>8091.23</v>
      </c>
      <c r="S151" s="82">
        <f t="shared" si="27"/>
        <v>30.104627753706669</v>
      </c>
      <c r="T151" s="83" t="s">
        <v>161</v>
      </c>
      <c r="U151" s="83" t="s">
        <v>166</v>
      </c>
      <c r="V151" s="83" t="s">
        <v>160</v>
      </c>
      <c r="W151" s="113">
        <f t="shared" si="23"/>
        <v>30</v>
      </c>
      <c r="AA151" s="75" t="s">
        <v>104</v>
      </c>
      <c r="AB151" s="44"/>
    </row>
    <row r="152" spans="1:28" ht="15">
      <c r="A152" s="15" t="e">
        <f t="shared" si="24"/>
        <v>#REF!</v>
      </c>
      <c r="B152" s="15" t="s">
        <v>366</v>
      </c>
      <c r="C152" s="16">
        <v>2021</v>
      </c>
      <c r="D152" s="75" t="s">
        <v>17</v>
      </c>
      <c r="E152" s="16" t="s">
        <v>280</v>
      </c>
      <c r="F152" s="17">
        <v>52</v>
      </c>
      <c r="G152" s="75" t="s">
        <v>109</v>
      </c>
      <c r="H152" s="75" t="s">
        <v>104</v>
      </c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Yes</v>
      </c>
      <c r="J152" s="18">
        <v>44754</v>
      </c>
      <c r="K152" s="18">
        <v>44754</v>
      </c>
      <c r="L152" s="35">
        <v>1</v>
      </c>
      <c r="M152" s="78">
        <f t="shared" si="25"/>
        <v>44754</v>
      </c>
      <c r="N152" s="79">
        <f t="shared" si="26"/>
        <v>1</v>
      </c>
      <c r="O152" s="80">
        <f t="shared" si="21"/>
        <v>0</v>
      </c>
      <c r="P152" s="19">
        <v>2892.71</v>
      </c>
      <c r="Q152" s="19">
        <v>2429.5839999999998</v>
      </c>
      <c r="R152" s="81">
        <f t="shared" si="22"/>
        <v>5322.2939999999999</v>
      </c>
      <c r="S152" s="82">
        <f t="shared" si="27"/>
        <v>0.88020820116223764</v>
      </c>
      <c r="T152" s="83" t="s">
        <v>161</v>
      </c>
      <c r="U152" s="83" t="s">
        <v>166</v>
      </c>
      <c r="V152" s="83" t="s">
        <v>160</v>
      </c>
      <c r="W152" s="113">
        <f t="shared" si="23"/>
        <v>60</v>
      </c>
      <c r="AA152" s="75" t="s">
        <v>108</v>
      </c>
      <c r="AB152" s="44">
        <v>1500</v>
      </c>
    </row>
    <row r="153" spans="1:28" ht="15">
      <c r="A153" s="15" t="e">
        <f t="shared" si="24"/>
        <v>#REF!</v>
      </c>
      <c r="B153" s="15" t="s">
        <v>367</v>
      </c>
      <c r="C153" s="16">
        <v>2017</v>
      </c>
      <c r="D153" s="75" t="s">
        <v>21</v>
      </c>
      <c r="E153" s="16" t="s">
        <v>368</v>
      </c>
      <c r="F153" s="17">
        <v>4</v>
      </c>
      <c r="G153" s="75" t="s">
        <v>109</v>
      </c>
      <c r="H153" s="75" t="s">
        <v>104</v>
      </c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No</v>
      </c>
      <c r="J153" s="18">
        <v>20000</v>
      </c>
      <c r="K153" s="18">
        <v>20000</v>
      </c>
      <c r="L153" s="35">
        <v>0.96</v>
      </c>
      <c r="M153" s="78">
        <f t="shared" si="25"/>
        <v>20833.333333333336</v>
      </c>
      <c r="N153" s="79">
        <f t="shared" si="26"/>
        <v>0.95999999999999985</v>
      </c>
      <c r="O153" s="80">
        <f t="shared" si="21"/>
        <v>0</v>
      </c>
      <c r="P153" s="19">
        <v>3671</v>
      </c>
      <c r="Q153" s="19">
        <v>3260.52</v>
      </c>
      <c r="R153" s="81">
        <f t="shared" si="22"/>
        <v>6931.52</v>
      </c>
      <c r="S153" s="82">
        <f t="shared" si="27"/>
        <v>38.204225610876357</v>
      </c>
      <c r="T153" s="83" t="s">
        <v>163</v>
      </c>
      <c r="U153" s="83" t="s">
        <v>166</v>
      </c>
      <c r="V153" s="83" t="s">
        <v>160</v>
      </c>
      <c r="W153" s="113">
        <f t="shared" si="23"/>
        <v>30</v>
      </c>
      <c r="AA153" s="75" t="s">
        <v>108</v>
      </c>
      <c r="AB153" s="44">
        <v>500</v>
      </c>
    </row>
    <row r="154" spans="1:28" ht="15">
      <c r="A154" s="15" t="e">
        <f t="shared" si="24"/>
        <v>#REF!</v>
      </c>
      <c r="B154" s="15" t="s">
        <v>369</v>
      </c>
      <c r="C154" s="16">
        <v>2021</v>
      </c>
      <c r="D154" s="75" t="s">
        <v>17</v>
      </c>
      <c r="E154" s="16" t="s">
        <v>288</v>
      </c>
      <c r="F154" s="17">
        <v>21</v>
      </c>
      <c r="G154" s="75" t="s">
        <v>103</v>
      </c>
      <c r="H154" s="75" t="s">
        <v>104</v>
      </c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Yes</v>
      </c>
      <c r="J154" s="18">
        <v>53377.79</v>
      </c>
      <c r="K154" s="18">
        <v>53377.79</v>
      </c>
      <c r="L154" s="35">
        <v>0.96</v>
      </c>
      <c r="M154" s="78">
        <f t="shared" si="25"/>
        <v>55601.864583333336</v>
      </c>
      <c r="N154" s="79">
        <f t="shared" si="26"/>
        <v>0.96</v>
      </c>
      <c r="O154" s="80">
        <f t="shared" si="21"/>
        <v>0</v>
      </c>
      <c r="P154" s="19">
        <v>1857.93</v>
      </c>
      <c r="Q154" s="19">
        <v>0</v>
      </c>
      <c r="R154" s="81">
        <f t="shared" si="22"/>
        <v>1857.93</v>
      </c>
      <c r="S154" s="82">
        <f t="shared" si="27"/>
        <v>0.61821263822200934</v>
      </c>
      <c r="T154" s="83" t="s">
        <v>165</v>
      </c>
      <c r="U154" s="83" t="s">
        <v>159</v>
      </c>
      <c r="V154" s="83" t="s">
        <v>160</v>
      </c>
      <c r="W154" s="113">
        <f t="shared" si="23"/>
        <v>30</v>
      </c>
      <c r="AA154" s="75" t="s">
        <v>108</v>
      </c>
      <c r="AB154" s="44">
        <v>1000</v>
      </c>
    </row>
    <row r="155" spans="1:28" ht="15">
      <c r="A155" s="15" t="e">
        <f t="shared" si="24"/>
        <v>#REF!</v>
      </c>
      <c r="B155" s="15" t="s">
        <v>370</v>
      </c>
      <c r="C155" s="16">
        <v>2016</v>
      </c>
      <c r="D155" s="75" t="s">
        <v>21</v>
      </c>
      <c r="E155" s="16" t="s">
        <v>371</v>
      </c>
      <c r="F155" s="17">
        <v>25</v>
      </c>
      <c r="G155" s="75" t="s">
        <v>110</v>
      </c>
      <c r="H155" s="75" t="s">
        <v>104</v>
      </c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No</v>
      </c>
      <c r="J155" s="18">
        <v>13722</v>
      </c>
      <c r="K155" s="18">
        <v>13722</v>
      </c>
      <c r="L155" s="35">
        <v>0.98</v>
      </c>
      <c r="M155" s="78">
        <f t="shared" si="25"/>
        <v>14002.040816326531</v>
      </c>
      <c r="N155" s="79">
        <f t="shared" si="26"/>
        <v>0.98</v>
      </c>
      <c r="O155" s="80">
        <f t="shared" si="21"/>
        <v>0</v>
      </c>
      <c r="P155" s="19">
        <v>2850.3599999999997</v>
      </c>
      <c r="Q155" s="19">
        <v>240</v>
      </c>
      <c r="R155" s="81">
        <f t="shared" si="22"/>
        <v>3090.3599999999997</v>
      </c>
      <c r="S155" s="82">
        <f t="shared" si="27"/>
        <v>4.0933275936289286</v>
      </c>
      <c r="T155" s="83" t="s">
        <v>163</v>
      </c>
      <c r="U155" s="83" t="s">
        <v>166</v>
      </c>
      <c r="V155" s="83" t="s">
        <v>160</v>
      </c>
      <c r="W155" s="113">
        <f t="shared" si="23"/>
        <v>30</v>
      </c>
      <c r="AA155" s="75" t="s">
        <v>108</v>
      </c>
      <c r="AB155" s="44">
        <v>1000</v>
      </c>
    </row>
    <row r="156" spans="1:28" ht="15">
      <c r="A156" s="15" t="e">
        <f t="shared" si="24"/>
        <v>#REF!</v>
      </c>
      <c r="B156" s="15" t="s">
        <v>372</v>
      </c>
      <c r="C156" s="16">
        <v>2021</v>
      </c>
      <c r="D156" s="75" t="s">
        <v>17</v>
      </c>
      <c r="E156" s="16" t="s">
        <v>373</v>
      </c>
      <c r="F156" s="17">
        <v>8</v>
      </c>
      <c r="G156" s="75" t="s">
        <v>109</v>
      </c>
      <c r="H156" s="75" t="s">
        <v>104</v>
      </c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Yes</v>
      </c>
      <c r="J156" s="18">
        <v>16510.66</v>
      </c>
      <c r="K156" s="18">
        <v>16510.66</v>
      </c>
      <c r="L156" s="35">
        <v>0.99</v>
      </c>
      <c r="M156" s="78">
        <f t="shared" si="25"/>
        <v>16677.434343434343</v>
      </c>
      <c r="N156" s="79">
        <f t="shared" si="26"/>
        <v>0.99</v>
      </c>
      <c r="O156" s="80">
        <f t="shared" si="21"/>
        <v>0</v>
      </c>
      <c r="P156" s="19">
        <v>2160.08</v>
      </c>
      <c r="Q156" s="19">
        <v>3544.19</v>
      </c>
      <c r="R156" s="81">
        <f t="shared" si="22"/>
        <v>5704.27</v>
      </c>
      <c r="S156" s="82">
        <f t="shared" si="27"/>
        <v>17.887231735581423</v>
      </c>
      <c r="T156" s="83" t="s">
        <v>162</v>
      </c>
      <c r="U156" s="83" t="s">
        <v>159</v>
      </c>
      <c r="V156" s="83" t="s">
        <v>160</v>
      </c>
      <c r="W156" s="113">
        <f t="shared" si="23"/>
        <v>30</v>
      </c>
      <c r="AA156" s="75" t="s">
        <v>104</v>
      </c>
      <c r="AB156" s="44"/>
    </row>
    <row r="157" spans="1:28" ht="15">
      <c r="A157" s="15" t="e">
        <f t="shared" si="24"/>
        <v>#REF!</v>
      </c>
      <c r="B157" s="15" t="s">
        <v>374</v>
      </c>
      <c r="C157" s="16">
        <v>1999</v>
      </c>
      <c r="D157" s="75" t="s">
        <v>17</v>
      </c>
      <c r="E157" s="16" t="s">
        <v>309</v>
      </c>
      <c r="F157" s="17">
        <v>11</v>
      </c>
      <c r="G157" s="75" t="s">
        <v>110</v>
      </c>
      <c r="H157" s="75" t="s">
        <v>104</v>
      </c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Yes</v>
      </c>
      <c r="J157" s="18">
        <v>16999</v>
      </c>
      <c r="K157" s="18">
        <v>16999</v>
      </c>
      <c r="L157" s="35">
        <v>0.99</v>
      </c>
      <c r="M157" s="78">
        <f t="shared" si="25"/>
        <v>17170.707070707071</v>
      </c>
      <c r="N157" s="79">
        <f t="shared" si="26"/>
        <v>0.99</v>
      </c>
      <c r="O157" s="80">
        <f t="shared" si="21"/>
        <v>0</v>
      </c>
      <c r="P157" s="19">
        <v>907.13</v>
      </c>
      <c r="Q157" s="19">
        <v>1187.3399999999999</v>
      </c>
      <c r="R157" s="81">
        <f t="shared" si="22"/>
        <v>2094.4699999999998</v>
      </c>
      <c r="S157" s="82">
        <f t="shared" si="27"/>
        <v>4.2596846052752664</v>
      </c>
      <c r="T157" s="83" t="s">
        <v>164</v>
      </c>
      <c r="U157" s="83" t="s">
        <v>159</v>
      </c>
      <c r="V157" s="83" t="s">
        <v>160</v>
      </c>
      <c r="W157" s="113">
        <f t="shared" si="23"/>
        <v>30</v>
      </c>
      <c r="AA157" s="75" t="s">
        <v>108</v>
      </c>
      <c r="AB157" s="44">
        <v>2000</v>
      </c>
    </row>
    <row r="158" spans="1:28" ht="15">
      <c r="A158" s="15" t="e">
        <f t="shared" si="24"/>
        <v>#REF!</v>
      </c>
      <c r="B158" s="15" t="s">
        <v>375</v>
      </c>
      <c r="C158" s="16">
        <v>2016</v>
      </c>
      <c r="D158" s="75" t="s">
        <v>21</v>
      </c>
      <c r="E158" s="16" t="s">
        <v>376</v>
      </c>
      <c r="F158" s="17">
        <v>10</v>
      </c>
      <c r="G158" s="75" t="s">
        <v>110</v>
      </c>
      <c r="H158" s="75" t="s">
        <v>104</v>
      </c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No</v>
      </c>
      <c r="J158" s="18">
        <v>13099.45</v>
      </c>
      <c r="K158" s="18">
        <v>13099.45</v>
      </c>
      <c r="L158" s="35">
        <v>0.99</v>
      </c>
      <c r="M158" s="78">
        <f t="shared" si="25"/>
        <v>13231.767676767678</v>
      </c>
      <c r="N158" s="79">
        <f t="shared" si="26"/>
        <v>0.98999999999999988</v>
      </c>
      <c r="O158" s="80">
        <f t="shared" si="21"/>
        <v>0</v>
      </c>
      <c r="P158" s="19">
        <v>-1959.3400000000001</v>
      </c>
      <c r="Q158" s="19">
        <v>4671.3</v>
      </c>
      <c r="R158" s="81">
        <f t="shared" si="22"/>
        <v>2711.96</v>
      </c>
      <c r="S158" s="82">
        <f t="shared" si="27"/>
        <v>6.4832938104588749</v>
      </c>
      <c r="T158" s="83" t="s">
        <v>164</v>
      </c>
      <c r="U158" s="83" t="s">
        <v>159</v>
      </c>
      <c r="V158" s="83" t="s">
        <v>160</v>
      </c>
      <c r="W158" s="113">
        <f t="shared" si="23"/>
        <v>30</v>
      </c>
      <c r="AA158" s="75" t="s">
        <v>104</v>
      </c>
      <c r="AB158" s="44"/>
    </row>
    <row r="159" spans="1:28" ht="15">
      <c r="A159" s="15" t="e">
        <f t="shared" si="24"/>
        <v>#REF!</v>
      </c>
      <c r="B159" s="15" t="s">
        <v>377</v>
      </c>
      <c r="C159" s="16">
        <v>2019</v>
      </c>
      <c r="D159" s="75" t="s">
        <v>23</v>
      </c>
      <c r="E159" s="16" t="s">
        <v>231</v>
      </c>
      <c r="F159" s="17">
        <v>53</v>
      </c>
      <c r="G159" s="75" t="s">
        <v>110</v>
      </c>
      <c r="H159" s="75" t="s">
        <v>104</v>
      </c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No</v>
      </c>
      <c r="J159" s="18">
        <v>18898</v>
      </c>
      <c r="K159" s="18">
        <v>18898</v>
      </c>
      <c r="L159" s="35">
        <v>1</v>
      </c>
      <c r="M159" s="78">
        <f t="shared" si="25"/>
        <v>18898</v>
      </c>
      <c r="N159" s="79">
        <f t="shared" si="26"/>
        <v>1</v>
      </c>
      <c r="O159" s="80">
        <f t="shared" si="21"/>
        <v>0</v>
      </c>
      <c r="P159" s="19">
        <v>2216.64</v>
      </c>
      <c r="Q159" s="19">
        <v>4807.22</v>
      </c>
      <c r="R159" s="81">
        <f t="shared" si="22"/>
        <v>7023.8600000000006</v>
      </c>
      <c r="S159" s="82">
        <f t="shared" si="27"/>
        <v>2.8600328591822883</v>
      </c>
      <c r="T159" s="83" t="s">
        <v>164</v>
      </c>
      <c r="U159" s="83" t="s">
        <v>159</v>
      </c>
      <c r="V159" s="83" t="s">
        <v>160</v>
      </c>
      <c r="W159" s="113">
        <f t="shared" si="23"/>
        <v>60</v>
      </c>
      <c r="AA159" s="75" t="s">
        <v>104</v>
      </c>
      <c r="AB159" s="44"/>
    </row>
    <row r="160" spans="1:28" ht="15">
      <c r="A160" s="15" t="e">
        <f t="shared" si="24"/>
        <v>#REF!</v>
      </c>
      <c r="B160" s="15" t="s">
        <v>378</v>
      </c>
      <c r="C160" s="16">
        <v>2021</v>
      </c>
      <c r="D160" s="75" t="s">
        <v>17</v>
      </c>
      <c r="E160" s="16" t="s">
        <v>288</v>
      </c>
      <c r="F160" s="17">
        <v>80</v>
      </c>
      <c r="G160" s="75" t="s">
        <v>120</v>
      </c>
      <c r="H160" s="75" t="s">
        <v>104</v>
      </c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Yes</v>
      </c>
      <c r="J160" s="18">
        <v>61719</v>
      </c>
      <c r="K160" s="18">
        <v>61719</v>
      </c>
      <c r="L160" s="35">
        <v>1</v>
      </c>
      <c r="M160" s="78">
        <f t="shared" si="25"/>
        <v>61719</v>
      </c>
      <c r="N160" s="79">
        <f t="shared" si="26"/>
        <v>1</v>
      </c>
      <c r="O160" s="80">
        <f t="shared" si="21"/>
        <v>0</v>
      </c>
      <c r="P160" s="19">
        <v>3124.02</v>
      </c>
      <c r="Q160" s="19">
        <v>1278.3800000000001</v>
      </c>
      <c r="R160" s="81">
        <f t="shared" si="22"/>
        <v>4402.3999999999996</v>
      </c>
      <c r="S160" s="82">
        <f t="shared" si="27"/>
        <v>0.33809722266310183</v>
      </c>
      <c r="T160" s="83" t="s">
        <v>161</v>
      </c>
      <c r="U160" s="83" t="s">
        <v>159</v>
      </c>
      <c r="V160" s="83" t="s">
        <v>160</v>
      </c>
      <c r="W160" s="113">
        <f t="shared" si="23"/>
        <v>90</v>
      </c>
      <c r="AA160" s="75" t="s">
        <v>108</v>
      </c>
      <c r="AB160" s="44">
        <v>-1000</v>
      </c>
    </row>
    <row r="161" spans="1:28" ht="15">
      <c r="A161" s="15" t="e">
        <f t="shared" si="24"/>
        <v>#REF!</v>
      </c>
      <c r="B161" s="15" t="s">
        <v>379</v>
      </c>
      <c r="C161" s="16">
        <v>2018</v>
      </c>
      <c r="D161" s="75" t="s">
        <v>17</v>
      </c>
      <c r="E161" s="16" t="s">
        <v>187</v>
      </c>
      <c r="F161" s="17">
        <v>38</v>
      </c>
      <c r="G161" s="75" t="s">
        <v>109</v>
      </c>
      <c r="H161" s="75" t="s">
        <v>104</v>
      </c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Yes</v>
      </c>
      <c r="J161" s="1">
        <v>37360</v>
      </c>
      <c r="K161" s="1">
        <v>37360</v>
      </c>
      <c r="L161" s="35">
        <v>1</v>
      </c>
      <c r="M161" s="78">
        <f t="shared" si="25"/>
        <v>37360</v>
      </c>
      <c r="N161" s="79">
        <f t="shared" si="26"/>
        <v>1</v>
      </c>
      <c r="O161" s="80">
        <f t="shared" si="21"/>
        <v>0</v>
      </c>
      <c r="P161" s="19">
        <v>1349</v>
      </c>
      <c r="Q161" s="19">
        <v>0</v>
      </c>
      <c r="R161" s="81">
        <f t="shared" si="22"/>
        <v>1349</v>
      </c>
      <c r="S161" s="82">
        <f t="shared" si="27"/>
        <v>0.35489156091194357</v>
      </c>
      <c r="T161" s="83" t="s">
        <v>165</v>
      </c>
      <c r="U161" s="83" t="s">
        <v>159</v>
      </c>
      <c r="V161" s="83" t="s">
        <v>160</v>
      </c>
      <c r="W161" s="113">
        <f t="shared" si="23"/>
        <v>45</v>
      </c>
      <c r="AA161" s="75" t="s">
        <v>104</v>
      </c>
      <c r="AB161" s="44"/>
    </row>
    <row r="162" spans="1:28" ht="15">
      <c r="A162" s="15" t="e">
        <f t="shared" si="24"/>
        <v>#REF!</v>
      </c>
      <c r="B162" s="15" t="s">
        <v>380</v>
      </c>
      <c r="C162" s="16">
        <v>2016</v>
      </c>
      <c r="D162" s="75" t="s">
        <v>17</v>
      </c>
      <c r="E162" s="16" t="s">
        <v>213</v>
      </c>
      <c r="F162" s="17">
        <v>50</v>
      </c>
      <c r="G162" s="75" t="s">
        <v>120</v>
      </c>
      <c r="H162" s="75" t="s">
        <v>104</v>
      </c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Yes</v>
      </c>
      <c r="J162" s="18">
        <v>11000</v>
      </c>
      <c r="K162" s="18">
        <v>11000</v>
      </c>
      <c r="L162" s="35">
        <v>1.01</v>
      </c>
      <c r="M162" s="78">
        <f t="shared" si="25"/>
        <v>10891.089108910892</v>
      </c>
      <c r="N162" s="79">
        <f t="shared" si="26"/>
        <v>1.01</v>
      </c>
      <c r="O162" s="80">
        <f t="shared" si="21"/>
        <v>0</v>
      </c>
      <c r="P162" s="19">
        <v>1025.3899999999999</v>
      </c>
      <c r="Q162" s="19">
        <v>536.26</v>
      </c>
      <c r="R162" s="81">
        <f t="shared" si="22"/>
        <v>1561.6499999999999</v>
      </c>
      <c r="S162" s="82">
        <f t="shared" si="27"/>
        <v>1.1272500879733642</v>
      </c>
      <c r="T162" s="83" t="s">
        <v>162</v>
      </c>
      <c r="U162" s="83" t="s">
        <v>166</v>
      </c>
      <c r="V162" s="83" t="s">
        <v>160</v>
      </c>
      <c r="W162" s="113">
        <f t="shared" si="23"/>
        <v>60</v>
      </c>
      <c r="AA162" s="75" t="s">
        <v>104</v>
      </c>
      <c r="AB162" s="44"/>
    </row>
    <row r="163" spans="1:28" ht="15">
      <c r="A163" s="15" t="e">
        <f t="shared" si="24"/>
        <v>#REF!</v>
      </c>
      <c r="B163" s="15" t="s">
        <v>381</v>
      </c>
      <c r="C163" s="16">
        <v>2022</v>
      </c>
      <c r="D163" s="75" t="s">
        <v>17</v>
      </c>
      <c r="E163" s="16" t="s">
        <v>187</v>
      </c>
      <c r="F163" s="17">
        <v>13</v>
      </c>
      <c r="G163" s="75" t="s">
        <v>120</v>
      </c>
      <c r="H163" s="75" t="s">
        <v>104</v>
      </c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Yes</v>
      </c>
      <c r="J163" s="1">
        <v>29915</v>
      </c>
      <c r="K163" s="1">
        <v>29915</v>
      </c>
      <c r="L163" s="35">
        <v>1.03</v>
      </c>
      <c r="M163" s="78">
        <f t="shared" si="25"/>
        <v>29043.689320388348</v>
      </c>
      <c r="N163" s="79">
        <f t="shared" si="26"/>
        <v>1.03</v>
      </c>
      <c r="O163" s="80">
        <f t="shared" si="21"/>
        <v>0</v>
      </c>
      <c r="P163" s="19">
        <v>4765</v>
      </c>
      <c r="Q163" s="19">
        <v>1798.27</v>
      </c>
      <c r="R163" s="81">
        <f t="shared" si="22"/>
        <v>6563.27</v>
      </c>
      <c r="S163" s="82">
        <f t="shared" si="27"/>
        <v>7.2267233521945258</v>
      </c>
      <c r="T163" s="83" t="s">
        <v>163</v>
      </c>
      <c r="U163" s="83" t="s">
        <v>166</v>
      </c>
      <c r="V163" s="83" t="s">
        <v>160</v>
      </c>
      <c r="W163" s="113">
        <f t="shared" si="23"/>
        <v>30</v>
      </c>
      <c r="AA163" s="75" t="s">
        <v>108</v>
      </c>
      <c r="AB163" s="44">
        <v>0</v>
      </c>
    </row>
    <row r="164" spans="1:28" ht="15">
      <c r="A164" s="15" t="e">
        <f t="shared" si="24"/>
        <v>#REF!</v>
      </c>
      <c r="B164" s="15" t="s">
        <v>382</v>
      </c>
      <c r="C164" s="16">
        <v>2015</v>
      </c>
      <c r="D164" s="75" t="s">
        <v>17</v>
      </c>
      <c r="E164" s="16" t="s">
        <v>215</v>
      </c>
      <c r="F164" s="17">
        <v>8</v>
      </c>
      <c r="G164" s="75" t="s">
        <v>103</v>
      </c>
      <c r="H164" s="75" t="s">
        <v>104</v>
      </c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Yes</v>
      </c>
      <c r="J164" s="1">
        <v>11590</v>
      </c>
      <c r="K164" s="1">
        <v>11590</v>
      </c>
      <c r="L164" s="35">
        <v>1.01</v>
      </c>
      <c r="M164" s="78">
        <f t="shared" si="25"/>
        <v>11475.247524752474</v>
      </c>
      <c r="N164" s="79">
        <f t="shared" si="26"/>
        <v>1.01</v>
      </c>
      <c r="O164" s="80">
        <f t="shared" si="21"/>
        <v>0</v>
      </c>
      <c r="P164" s="19">
        <v>2797.77</v>
      </c>
      <c r="Q164" s="19">
        <v>1234.42</v>
      </c>
      <c r="R164" s="81">
        <f t="shared" si="22"/>
        <v>4032.19</v>
      </c>
      <c r="S164" s="82">
        <f t="shared" si="27"/>
        <v>20.637375273394806</v>
      </c>
      <c r="T164" s="83" t="s">
        <v>161</v>
      </c>
      <c r="U164" s="83" t="s">
        <v>166</v>
      </c>
      <c r="V164" s="83" t="s">
        <v>160</v>
      </c>
      <c r="W164" s="113">
        <f t="shared" si="23"/>
        <v>30</v>
      </c>
      <c r="AA164" s="75" t="s">
        <v>104</v>
      </c>
      <c r="AB164" s="44"/>
    </row>
    <row r="165" spans="1:28" ht="15">
      <c r="A165" s="15" t="e">
        <f t="shared" si="24"/>
        <v>#REF!</v>
      </c>
      <c r="B165" s="15" t="s">
        <v>383</v>
      </c>
      <c r="C165" s="16">
        <v>2018</v>
      </c>
      <c r="D165" s="75" t="s">
        <v>43</v>
      </c>
      <c r="E165" s="16" t="s">
        <v>225</v>
      </c>
      <c r="F165" s="17">
        <v>26</v>
      </c>
      <c r="G165" s="75" t="s">
        <v>110</v>
      </c>
      <c r="H165" s="75" t="s">
        <v>104</v>
      </c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No</v>
      </c>
      <c r="J165" s="18">
        <v>27500</v>
      </c>
      <c r="K165" s="18">
        <v>27500</v>
      </c>
      <c r="L165" s="35">
        <v>1.02</v>
      </c>
      <c r="M165" s="78">
        <f t="shared" si="25"/>
        <v>26960.784313725489</v>
      </c>
      <c r="N165" s="79">
        <f t="shared" si="26"/>
        <v>1.02</v>
      </c>
      <c r="O165" s="80">
        <f t="shared" si="21"/>
        <v>0</v>
      </c>
      <c r="P165" s="19">
        <v>2245</v>
      </c>
      <c r="Q165" s="19">
        <v>2310.2199999999998</v>
      </c>
      <c r="R165" s="81">
        <f t="shared" si="22"/>
        <v>4555.2199999999993</v>
      </c>
      <c r="S165" s="82">
        <f t="shared" si="27"/>
        <v>2.4974174192467595</v>
      </c>
      <c r="T165" s="83" t="s">
        <v>163</v>
      </c>
      <c r="U165" s="83" t="s">
        <v>166</v>
      </c>
      <c r="V165" s="83" t="s">
        <v>160</v>
      </c>
      <c r="W165" s="113">
        <f t="shared" si="23"/>
        <v>30</v>
      </c>
      <c r="AA165" s="75" t="s">
        <v>108</v>
      </c>
      <c r="AB165" s="44">
        <v>0</v>
      </c>
    </row>
    <row r="166" spans="1:28" ht="15">
      <c r="A166" s="15" t="e">
        <f t="shared" si="24"/>
        <v>#REF!</v>
      </c>
      <c r="B166" s="15" t="s">
        <v>384</v>
      </c>
      <c r="C166" s="16">
        <v>2023</v>
      </c>
      <c r="D166" s="75" t="s">
        <v>23</v>
      </c>
      <c r="E166" s="16" t="s">
        <v>332</v>
      </c>
      <c r="F166" s="17">
        <v>13</v>
      </c>
      <c r="G166" s="75" t="s">
        <v>109</v>
      </c>
      <c r="H166" s="75" t="s">
        <v>104</v>
      </c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No</v>
      </c>
      <c r="J166" s="18">
        <v>74816.600000000006</v>
      </c>
      <c r="K166" s="18">
        <v>74816.600000000006</v>
      </c>
      <c r="L166" s="35">
        <v>1</v>
      </c>
      <c r="M166" s="78">
        <f t="shared" si="25"/>
        <v>74816.600000000006</v>
      </c>
      <c r="N166" s="79">
        <f t="shared" si="26"/>
        <v>1</v>
      </c>
      <c r="O166" s="80">
        <f t="shared" si="21"/>
        <v>0</v>
      </c>
      <c r="P166" s="19">
        <v>3684.69</v>
      </c>
      <c r="Q166" s="19">
        <v>0</v>
      </c>
      <c r="R166" s="81">
        <f t="shared" si="22"/>
        <v>3684.69</v>
      </c>
      <c r="S166" s="82">
        <f t="shared" si="27"/>
        <v>1.4344837532236832</v>
      </c>
      <c r="T166" s="83" t="s">
        <v>161</v>
      </c>
      <c r="U166" s="83" t="s">
        <v>166</v>
      </c>
      <c r="V166" s="83" t="s">
        <v>160</v>
      </c>
      <c r="W166" s="113">
        <f t="shared" si="23"/>
        <v>30</v>
      </c>
      <c r="AA166" s="75" t="s">
        <v>108</v>
      </c>
      <c r="AB166" s="44">
        <v>2000</v>
      </c>
    </row>
    <row r="167" spans="1:28" ht="15">
      <c r="A167" s="15" t="e">
        <f t="shared" si="24"/>
        <v>#REF!</v>
      </c>
      <c r="B167" s="15" t="s">
        <v>385</v>
      </c>
      <c r="C167" s="16">
        <v>2022</v>
      </c>
      <c r="D167" s="75" t="s">
        <v>17</v>
      </c>
      <c r="E167" s="16" t="s">
        <v>274</v>
      </c>
      <c r="F167" s="17">
        <v>42</v>
      </c>
      <c r="G167" s="75" t="s">
        <v>103</v>
      </c>
      <c r="H167" s="75" t="s">
        <v>104</v>
      </c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Yes</v>
      </c>
      <c r="J167" s="18">
        <v>65364</v>
      </c>
      <c r="K167" s="18">
        <v>65364</v>
      </c>
      <c r="L167" s="35">
        <v>0.96</v>
      </c>
      <c r="M167" s="78">
        <f t="shared" si="25"/>
        <v>68087.5</v>
      </c>
      <c r="N167" s="79">
        <f t="shared" si="26"/>
        <v>0.96</v>
      </c>
      <c r="O167" s="80">
        <f t="shared" si="21"/>
        <v>0</v>
      </c>
      <c r="P167" s="19">
        <v>2129.85</v>
      </c>
      <c r="Q167" s="19">
        <v>2179.79</v>
      </c>
      <c r="R167" s="81">
        <f t="shared" si="22"/>
        <v>4309.6399999999994</v>
      </c>
      <c r="S167" s="82">
        <f t="shared" si="27"/>
        <v>0.58417439672347016</v>
      </c>
      <c r="T167" s="83" t="s">
        <v>162</v>
      </c>
      <c r="U167" s="83" t="s">
        <v>166</v>
      </c>
      <c r="V167" s="83" t="s">
        <v>160</v>
      </c>
      <c r="W167" s="113">
        <f t="shared" si="23"/>
        <v>45</v>
      </c>
      <c r="AA167" s="75" t="s">
        <v>108</v>
      </c>
      <c r="AB167" s="44">
        <v>0</v>
      </c>
    </row>
    <row r="168" spans="1:28" ht="15">
      <c r="A168" s="15" t="e">
        <f t="shared" si="24"/>
        <v>#REF!</v>
      </c>
      <c r="B168" s="15" t="s">
        <v>386</v>
      </c>
      <c r="C168" s="16">
        <v>2012</v>
      </c>
      <c r="D168" s="75" t="s">
        <v>17</v>
      </c>
      <c r="E168" s="16" t="s">
        <v>102</v>
      </c>
      <c r="F168" s="17">
        <v>42</v>
      </c>
      <c r="G168" s="75" t="s">
        <v>110</v>
      </c>
      <c r="H168" s="75" t="s">
        <v>104</v>
      </c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Yes</v>
      </c>
      <c r="J168" s="1">
        <v>9875</v>
      </c>
      <c r="K168" s="1">
        <v>9875</v>
      </c>
      <c r="L168" s="35">
        <v>0.96</v>
      </c>
      <c r="M168" s="78">
        <f t="shared" si="25"/>
        <v>10286.458333333334</v>
      </c>
      <c r="N168" s="79">
        <f t="shared" si="26"/>
        <v>0.96</v>
      </c>
      <c r="O168" s="80">
        <f t="shared" si="21"/>
        <v>0</v>
      </c>
      <c r="P168" s="19">
        <v>1467.13</v>
      </c>
      <c r="Q168" s="19">
        <v>1499.51</v>
      </c>
      <c r="R168" s="81">
        <f t="shared" si="22"/>
        <v>2966.6400000000003</v>
      </c>
      <c r="S168" s="82">
        <f t="shared" si="27"/>
        <v>3.0243501454164803</v>
      </c>
      <c r="T168" s="83" t="s">
        <v>163</v>
      </c>
      <c r="U168" s="83" t="s">
        <v>166</v>
      </c>
      <c r="V168" s="83" t="s">
        <v>160</v>
      </c>
      <c r="W168" s="113">
        <f t="shared" si="23"/>
        <v>45</v>
      </c>
      <c r="AA168" s="75" t="s">
        <v>108</v>
      </c>
      <c r="AB168" s="44">
        <v>0</v>
      </c>
    </row>
    <row r="169" spans="1:28" ht="15">
      <c r="A169" s="15" t="e">
        <f t="shared" si="24"/>
        <v>#REF!</v>
      </c>
      <c r="B169" s="15" t="s">
        <v>387</v>
      </c>
      <c r="C169" s="16">
        <v>2016</v>
      </c>
      <c r="D169" s="75" t="s">
        <v>47</v>
      </c>
      <c r="E169" s="16">
        <v>1500</v>
      </c>
      <c r="F169" s="17">
        <v>19</v>
      </c>
      <c r="G169" s="75" t="s">
        <v>103</v>
      </c>
      <c r="H169" s="75" t="s">
        <v>104</v>
      </c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No</v>
      </c>
      <c r="J169" s="18">
        <v>26277</v>
      </c>
      <c r="K169" s="18">
        <v>26277</v>
      </c>
      <c r="L169" s="35">
        <v>0.99</v>
      </c>
      <c r="M169" s="78">
        <f t="shared" si="25"/>
        <v>26542.424242424244</v>
      </c>
      <c r="N169" s="79">
        <f t="shared" si="26"/>
        <v>0.99</v>
      </c>
      <c r="O169" s="80">
        <f t="shared" si="21"/>
        <v>0</v>
      </c>
      <c r="P169" s="19">
        <v>3704.66</v>
      </c>
      <c r="Q169" s="19">
        <v>6751.32</v>
      </c>
      <c r="R169" s="81">
        <f t="shared" si="22"/>
        <v>10455.98</v>
      </c>
      <c r="S169" s="82">
        <f t="shared" si="27"/>
        <v>8.7768173465027495</v>
      </c>
      <c r="T169" s="83" t="s">
        <v>163</v>
      </c>
      <c r="U169" s="83" t="s">
        <v>166</v>
      </c>
      <c r="V169" s="83" t="s">
        <v>160</v>
      </c>
      <c r="W169" s="113">
        <f t="shared" si="23"/>
        <v>30</v>
      </c>
      <c r="AA169" s="75" t="s">
        <v>104</v>
      </c>
      <c r="AB169" s="44"/>
    </row>
    <row r="170" spans="1:28" ht="15">
      <c r="A170" s="15" t="e">
        <f t="shared" si="24"/>
        <v>#REF!</v>
      </c>
      <c r="B170" s="15" t="s">
        <v>388</v>
      </c>
      <c r="C170" s="16">
        <v>2011</v>
      </c>
      <c r="D170" s="75" t="s">
        <v>29</v>
      </c>
      <c r="E170" s="16" t="s">
        <v>168</v>
      </c>
      <c r="F170" s="17">
        <v>15</v>
      </c>
      <c r="G170" s="75" t="s">
        <v>120</v>
      </c>
      <c r="H170" s="75" t="s">
        <v>104</v>
      </c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No</v>
      </c>
      <c r="J170" s="18">
        <v>11000</v>
      </c>
      <c r="K170" s="18">
        <v>11000</v>
      </c>
      <c r="L170" s="35">
        <v>0.99</v>
      </c>
      <c r="M170" s="78">
        <f t="shared" si="25"/>
        <v>11111.111111111111</v>
      </c>
      <c r="N170" s="79">
        <f t="shared" si="26"/>
        <v>0.99</v>
      </c>
      <c r="O170" s="80">
        <f t="shared" si="21"/>
        <v>0</v>
      </c>
      <c r="P170" s="19">
        <v>750.48</v>
      </c>
      <c r="Q170" s="19">
        <v>789</v>
      </c>
      <c r="R170" s="81">
        <f t="shared" si="22"/>
        <v>1539.48</v>
      </c>
      <c r="S170" s="82">
        <f t="shared" si="27"/>
        <v>3.6048049079371518</v>
      </c>
      <c r="T170" s="83" t="s">
        <v>161</v>
      </c>
      <c r="U170" s="83" t="s">
        <v>159</v>
      </c>
      <c r="V170" s="83" t="s">
        <v>160</v>
      </c>
      <c r="W170" s="113">
        <f t="shared" si="23"/>
        <v>30</v>
      </c>
      <c r="AA170" s="75" t="s">
        <v>108</v>
      </c>
      <c r="AB170" s="44">
        <v>350</v>
      </c>
    </row>
    <row r="171" spans="1:28" ht="15">
      <c r="A171" s="15" t="e">
        <f t="shared" si="24"/>
        <v>#REF!</v>
      </c>
      <c r="B171" s="15" t="s">
        <v>389</v>
      </c>
      <c r="C171" s="16">
        <v>2019</v>
      </c>
      <c r="D171" s="75" t="s">
        <v>21</v>
      </c>
      <c r="E171" s="16" t="s">
        <v>390</v>
      </c>
      <c r="F171" s="17">
        <v>24</v>
      </c>
      <c r="G171" s="75" t="s">
        <v>103</v>
      </c>
      <c r="H171" s="75" t="s">
        <v>104</v>
      </c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No</v>
      </c>
      <c r="J171" s="18">
        <v>23821</v>
      </c>
      <c r="K171" s="18">
        <v>23821</v>
      </c>
      <c r="L171" s="35">
        <v>0.98</v>
      </c>
      <c r="M171" s="78">
        <f t="shared" si="25"/>
        <v>24307.142857142859</v>
      </c>
      <c r="N171" s="79">
        <f t="shared" si="26"/>
        <v>0.98</v>
      </c>
      <c r="O171" s="80">
        <f t="shared" si="21"/>
        <v>0</v>
      </c>
      <c r="P171" s="19">
        <v>2292.5299999999997</v>
      </c>
      <c r="Q171" s="19">
        <v>240</v>
      </c>
      <c r="R171" s="81">
        <f t="shared" si="22"/>
        <v>2532.5299999999997</v>
      </c>
      <c r="S171" s="82">
        <f t="shared" si="27"/>
        <v>1.7645448097333436</v>
      </c>
      <c r="T171" s="83" t="s">
        <v>165</v>
      </c>
      <c r="U171" s="83" t="s">
        <v>159</v>
      </c>
      <c r="V171" s="83" t="s">
        <v>160</v>
      </c>
      <c r="W171" s="113">
        <f t="shared" si="23"/>
        <v>30</v>
      </c>
      <c r="AA171" s="75" t="s">
        <v>104</v>
      </c>
      <c r="AB171" s="44"/>
    </row>
    <row r="172" spans="1:28" ht="15">
      <c r="A172" s="15" t="e">
        <f t="shared" si="24"/>
        <v>#REF!</v>
      </c>
      <c r="B172" s="15" t="s">
        <v>391</v>
      </c>
      <c r="C172" s="16">
        <v>2015</v>
      </c>
      <c r="D172" s="75" t="s">
        <v>15</v>
      </c>
      <c r="E172" s="16" t="s">
        <v>392</v>
      </c>
      <c r="F172" s="17">
        <v>37</v>
      </c>
      <c r="G172" s="75" t="s">
        <v>110</v>
      </c>
      <c r="H172" s="75" t="s">
        <v>104</v>
      </c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No</v>
      </c>
      <c r="J172" s="18">
        <v>15978</v>
      </c>
      <c r="K172" s="18">
        <v>15978</v>
      </c>
      <c r="L172" s="35">
        <v>1.05</v>
      </c>
      <c r="M172" s="78">
        <f t="shared" si="25"/>
        <v>15217.142857142857</v>
      </c>
      <c r="N172" s="79">
        <f t="shared" si="26"/>
        <v>1.05</v>
      </c>
      <c r="O172" s="80">
        <f t="shared" si="21"/>
        <v>0</v>
      </c>
      <c r="P172" s="19">
        <v>1437.74</v>
      </c>
      <c r="Q172" s="19">
        <v>3209.73</v>
      </c>
      <c r="R172" s="81">
        <f t="shared" si="22"/>
        <v>4647.47</v>
      </c>
      <c r="S172" s="82">
        <f t="shared" si="27"/>
        <v>3.1098912280129123</v>
      </c>
      <c r="T172" s="83" t="s">
        <v>162</v>
      </c>
      <c r="U172" s="83" t="s">
        <v>159</v>
      </c>
      <c r="V172" s="83" t="s">
        <v>160</v>
      </c>
      <c r="W172" s="113">
        <f t="shared" ref="W172:W205" si="28">IF(AND(F172&gt;0,F172&lt;=30),30,IF(AND(F172&gt;=31,F172&lt;=45),45,IF(AND(F172&gt;=46,F172&lt;=60),60,IF(AND(F172&gt;=61,F172&lt;=90),90,IF(F172&gt;=91,91,0)))))</f>
        <v>45</v>
      </c>
      <c r="AA172" s="75" t="s">
        <v>104</v>
      </c>
      <c r="AB172" s="44"/>
    </row>
    <row r="173" spans="1:28" ht="15">
      <c r="A173" s="15" t="e">
        <f t="shared" si="24"/>
        <v>#REF!</v>
      </c>
      <c r="B173" s="15" t="s">
        <v>393</v>
      </c>
      <c r="C173" s="16">
        <v>2010</v>
      </c>
      <c r="D173" s="75" t="s">
        <v>17</v>
      </c>
      <c r="E173" s="16" t="s">
        <v>102</v>
      </c>
      <c r="F173" s="17">
        <v>10</v>
      </c>
      <c r="G173" s="75" t="s">
        <v>103</v>
      </c>
      <c r="H173" s="75" t="s">
        <v>104</v>
      </c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Yes</v>
      </c>
      <c r="J173" s="18">
        <v>12500</v>
      </c>
      <c r="K173" s="18">
        <v>12500</v>
      </c>
      <c r="L173" s="35">
        <v>1.02</v>
      </c>
      <c r="M173" s="78">
        <f t="shared" si="25"/>
        <v>12254.901960784313</v>
      </c>
      <c r="N173" s="79">
        <f t="shared" si="26"/>
        <v>1.02</v>
      </c>
      <c r="O173" s="80">
        <f t="shared" si="21"/>
        <v>0</v>
      </c>
      <c r="P173" s="19">
        <v>3703.74</v>
      </c>
      <c r="Q173" s="19">
        <v>240</v>
      </c>
      <c r="R173" s="81">
        <f t="shared" si="22"/>
        <v>3943.74</v>
      </c>
      <c r="S173" s="82">
        <f t="shared" si="27"/>
        <v>16.14034146330372</v>
      </c>
      <c r="T173" s="83" t="s">
        <v>164</v>
      </c>
      <c r="U173" s="83" t="s">
        <v>166</v>
      </c>
      <c r="V173" s="83" t="s">
        <v>160</v>
      </c>
      <c r="W173" s="113">
        <f t="shared" si="28"/>
        <v>30</v>
      </c>
      <c r="AA173" s="75" t="s">
        <v>104</v>
      </c>
      <c r="AB173" s="44"/>
    </row>
    <row r="174" spans="1:28" ht="15">
      <c r="A174" s="15" t="e">
        <f t="shared" si="24"/>
        <v>#REF!</v>
      </c>
      <c r="B174" s="15" t="s">
        <v>394</v>
      </c>
      <c r="C174" s="16">
        <v>2018</v>
      </c>
      <c r="D174" s="75" t="s">
        <v>21</v>
      </c>
      <c r="E174" s="16" t="s">
        <v>368</v>
      </c>
      <c r="F174" s="17">
        <v>1</v>
      </c>
      <c r="G174" s="75" t="s">
        <v>112</v>
      </c>
      <c r="H174" s="75" t="s">
        <v>104</v>
      </c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No</v>
      </c>
      <c r="J174" s="18">
        <v>29211</v>
      </c>
      <c r="K174" s="18">
        <v>29211</v>
      </c>
      <c r="L174" s="35">
        <v>0.99</v>
      </c>
      <c r="M174" s="78">
        <f t="shared" si="25"/>
        <v>29506.060606060608</v>
      </c>
      <c r="N174" s="79">
        <f t="shared" si="26"/>
        <v>0.99</v>
      </c>
      <c r="O174" s="80">
        <f t="shared" si="21"/>
        <v>0</v>
      </c>
      <c r="P174" s="19">
        <v>5061</v>
      </c>
      <c r="Q174" s="19">
        <v>4057.1</v>
      </c>
      <c r="R174" s="81">
        <f t="shared" si="22"/>
        <v>9118.1</v>
      </c>
      <c r="S174" s="82">
        <f t="shared" si="27"/>
        <v>135.92198757763975</v>
      </c>
      <c r="T174" s="83" t="s">
        <v>161</v>
      </c>
      <c r="U174" s="83" t="s">
        <v>159</v>
      </c>
      <c r="V174" s="83" t="s">
        <v>160</v>
      </c>
      <c r="W174" s="113">
        <f t="shared" si="28"/>
        <v>30</v>
      </c>
      <c r="AA174" s="75" t="s">
        <v>104</v>
      </c>
      <c r="AB174" s="44"/>
    </row>
    <row r="175" spans="1:28" ht="15">
      <c r="A175" s="15" t="e">
        <f t="shared" si="24"/>
        <v>#REF!</v>
      </c>
      <c r="B175" s="15" t="s">
        <v>395</v>
      </c>
      <c r="C175" s="16">
        <v>2019</v>
      </c>
      <c r="D175" s="75" t="s">
        <v>21</v>
      </c>
      <c r="E175" s="16" t="s">
        <v>156</v>
      </c>
      <c r="F175" s="17">
        <v>1</v>
      </c>
      <c r="G175" s="75" t="s">
        <v>112</v>
      </c>
      <c r="H175" s="75" t="s">
        <v>104</v>
      </c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No</v>
      </c>
      <c r="J175" s="18">
        <v>37585.43</v>
      </c>
      <c r="K175" s="18">
        <v>37585.43</v>
      </c>
      <c r="L175" s="35">
        <v>0.99</v>
      </c>
      <c r="M175" s="78">
        <f t="shared" si="25"/>
        <v>37965.080808080806</v>
      </c>
      <c r="N175" s="79">
        <f t="shared" si="26"/>
        <v>0.9900000000000001</v>
      </c>
      <c r="O175" s="80">
        <f t="shared" si="21"/>
        <v>0</v>
      </c>
      <c r="P175" s="19">
        <v>4935.43</v>
      </c>
      <c r="Q175" s="19">
        <v>0</v>
      </c>
      <c r="R175" s="81">
        <f t="shared" si="22"/>
        <v>4935.43</v>
      </c>
      <c r="S175" s="82">
        <f t="shared" si="27"/>
        <v>54.418217457886676</v>
      </c>
      <c r="T175" s="83" t="s">
        <v>162</v>
      </c>
      <c r="U175" s="83" t="s">
        <v>166</v>
      </c>
      <c r="V175" s="83" t="s">
        <v>160</v>
      </c>
      <c r="W175" s="113">
        <f t="shared" si="28"/>
        <v>30</v>
      </c>
      <c r="AA175" s="75" t="s">
        <v>104</v>
      </c>
      <c r="AB175" s="44"/>
    </row>
    <row r="176" spans="1:28" ht="15">
      <c r="A176" s="15" t="e">
        <f t="shared" si="24"/>
        <v>#REF!</v>
      </c>
      <c r="B176" s="15" t="s">
        <v>396</v>
      </c>
      <c r="C176" s="16">
        <v>2023</v>
      </c>
      <c r="D176" s="75" t="s">
        <v>23</v>
      </c>
      <c r="E176" s="16" t="s">
        <v>397</v>
      </c>
      <c r="F176" s="17">
        <v>55</v>
      </c>
      <c r="G176" s="75" t="s">
        <v>109</v>
      </c>
      <c r="H176" s="75" t="s">
        <v>104</v>
      </c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No</v>
      </c>
      <c r="J176" s="18">
        <v>76274</v>
      </c>
      <c r="K176" s="18">
        <v>76274</v>
      </c>
      <c r="L176" s="35">
        <v>0.99</v>
      </c>
      <c r="M176" s="78">
        <f t="shared" si="25"/>
        <v>77044.444444444438</v>
      </c>
      <c r="N176" s="79">
        <f t="shared" si="26"/>
        <v>0.9900000000000001</v>
      </c>
      <c r="O176" s="80">
        <f t="shared" si="21"/>
        <v>0</v>
      </c>
      <c r="P176" s="19">
        <v>-1649.7399999999998</v>
      </c>
      <c r="Q176" s="19">
        <v>3361.02</v>
      </c>
      <c r="R176" s="81">
        <f t="shared" si="22"/>
        <v>1711.2800000000002</v>
      </c>
      <c r="S176" s="82">
        <f t="shared" si="27"/>
        <v>0.14374445393079768</v>
      </c>
      <c r="T176" s="83" t="s">
        <v>162</v>
      </c>
      <c r="U176" s="83" t="s">
        <v>159</v>
      </c>
      <c r="V176" s="83" t="s">
        <v>160</v>
      </c>
      <c r="W176" s="113">
        <f t="shared" si="28"/>
        <v>60</v>
      </c>
      <c r="AA176" s="75" t="s">
        <v>104</v>
      </c>
      <c r="AB176" s="44"/>
    </row>
    <row r="177" spans="1:28" ht="15">
      <c r="A177" s="15" t="e">
        <f t="shared" si="24"/>
        <v>#REF!</v>
      </c>
      <c r="B177" s="15" t="s">
        <v>398</v>
      </c>
      <c r="C177" s="16">
        <v>2015</v>
      </c>
      <c r="D177" s="75" t="s">
        <v>17</v>
      </c>
      <c r="E177" s="16" t="s">
        <v>274</v>
      </c>
      <c r="F177" s="17">
        <v>39</v>
      </c>
      <c r="G177" s="75" t="s">
        <v>110</v>
      </c>
      <c r="H177" s="75" t="s">
        <v>104</v>
      </c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Yes</v>
      </c>
      <c r="J177" s="18">
        <v>38937</v>
      </c>
      <c r="K177" s="18">
        <v>38937</v>
      </c>
      <c r="L177" s="35">
        <v>0.99</v>
      </c>
      <c r="M177" s="78">
        <f t="shared" si="25"/>
        <v>39330.303030303032</v>
      </c>
      <c r="N177" s="79">
        <f t="shared" si="26"/>
        <v>0.99</v>
      </c>
      <c r="O177" s="80">
        <f t="shared" si="21"/>
        <v>0</v>
      </c>
      <c r="P177" s="19">
        <v>4305.1399999999994</v>
      </c>
      <c r="Q177" s="19">
        <v>240</v>
      </c>
      <c r="R177" s="81">
        <f t="shared" si="22"/>
        <v>4545.1399999999994</v>
      </c>
      <c r="S177" s="82">
        <f t="shared" si="27"/>
        <v>1.2114607318676631</v>
      </c>
      <c r="T177" s="83" t="s">
        <v>162</v>
      </c>
      <c r="U177" s="83" t="s">
        <v>159</v>
      </c>
      <c r="V177" s="83" t="s">
        <v>160</v>
      </c>
      <c r="W177" s="113">
        <f t="shared" si="28"/>
        <v>45</v>
      </c>
      <c r="AA177" s="75" t="s">
        <v>104</v>
      </c>
      <c r="AB177" s="44"/>
    </row>
    <row r="178" spans="1:28" ht="15">
      <c r="A178" s="15" t="e">
        <f t="shared" si="24"/>
        <v>#REF!</v>
      </c>
      <c r="B178" s="15" t="s">
        <v>399</v>
      </c>
      <c r="C178" s="16">
        <v>2011</v>
      </c>
      <c r="D178" s="75" t="s">
        <v>21</v>
      </c>
      <c r="E178" s="16" t="s">
        <v>195</v>
      </c>
      <c r="F178" s="17">
        <v>14</v>
      </c>
      <c r="G178" s="75" t="s">
        <v>120</v>
      </c>
      <c r="H178" s="75" t="s">
        <v>104</v>
      </c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No</v>
      </c>
      <c r="J178" s="18">
        <v>14995</v>
      </c>
      <c r="K178" s="18">
        <v>14995</v>
      </c>
      <c r="L178" s="35">
        <v>0.99</v>
      </c>
      <c r="M178" s="78">
        <f t="shared" si="25"/>
        <v>15146.464646464647</v>
      </c>
      <c r="N178" s="79">
        <f t="shared" si="26"/>
        <v>0.99</v>
      </c>
      <c r="O178" s="80">
        <f t="shared" si="21"/>
        <v>0</v>
      </c>
      <c r="P178" s="19">
        <v>5730.81</v>
      </c>
      <c r="Q178" s="19">
        <v>0</v>
      </c>
      <c r="R178" s="81">
        <f t="shared" si="22"/>
        <v>5730.81</v>
      </c>
      <c r="S178" s="82">
        <f t="shared" si="27"/>
        <v>15.906807364085337</v>
      </c>
      <c r="T178" s="83" t="s">
        <v>165</v>
      </c>
      <c r="U178" s="83" t="s">
        <v>159</v>
      </c>
      <c r="V178" s="83" t="s">
        <v>160</v>
      </c>
      <c r="W178" s="113">
        <f t="shared" si="28"/>
        <v>30</v>
      </c>
      <c r="AA178" s="75" t="s">
        <v>108</v>
      </c>
      <c r="AB178" s="44">
        <v>0</v>
      </c>
    </row>
    <row r="179" spans="1:28" ht="15">
      <c r="A179" s="15" t="e">
        <f t="shared" si="24"/>
        <v>#REF!</v>
      </c>
      <c r="B179" s="15" t="s">
        <v>400</v>
      </c>
      <c r="C179" s="16">
        <v>2022</v>
      </c>
      <c r="D179" s="75" t="s">
        <v>23</v>
      </c>
      <c r="E179" s="16" t="s">
        <v>276</v>
      </c>
      <c r="F179" s="17">
        <v>53</v>
      </c>
      <c r="G179" s="75" t="s">
        <v>112</v>
      </c>
      <c r="H179" s="75" t="s">
        <v>104</v>
      </c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No</v>
      </c>
      <c r="J179" s="18">
        <v>41000</v>
      </c>
      <c r="K179" s="18">
        <v>41000</v>
      </c>
      <c r="L179" s="35">
        <v>0.98</v>
      </c>
      <c r="M179" s="78">
        <f t="shared" si="25"/>
        <v>41836.734693877552</v>
      </c>
      <c r="N179" s="79">
        <f t="shared" si="26"/>
        <v>0.98</v>
      </c>
      <c r="O179" s="80">
        <f t="shared" si="21"/>
        <v>0</v>
      </c>
      <c r="P179" s="19">
        <v>1504.42</v>
      </c>
      <c r="Q179" s="19">
        <v>0</v>
      </c>
      <c r="R179" s="81">
        <f t="shared" si="22"/>
        <v>1504.42</v>
      </c>
      <c r="S179" s="82">
        <f t="shared" si="27"/>
        <v>0.25873026517884917</v>
      </c>
      <c r="T179" s="83" t="s">
        <v>164</v>
      </c>
      <c r="U179" s="83" t="s">
        <v>159</v>
      </c>
      <c r="V179" s="83" t="s">
        <v>160</v>
      </c>
      <c r="W179" s="113">
        <f t="shared" si="28"/>
        <v>60</v>
      </c>
      <c r="AA179" s="75" t="s">
        <v>108</v>
      </c>
      <c r="AB179" s="44">
        <v>0</v>
      </c>
    </row>
    <row r="180" spans="1:28" ht="15">
      <c r="A180" s="15" t="e">
        <f t="shared" si="24"/>
        <v>#REF!</v>
      </c>
      <c r="B180" s="15" t="s">
        <v>401</v>
      </c>
      <c r="C180" s="16">
        <v>2021</v>
      </c>
      <c r="D180" s="75" t="s">
        <v>29</v>
      </c>
      <c r="E180" s="16" t="s">
        <v>335</v>
      </c>
      <c r="F180" s="17">
        <v>16</v>
      </c>
      <c r="G180" s="75" t="s">
        <v>120</v>
      </c>
      <c r="H180" s="75" t="s">
        <v>104</v>
      </c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No</v>
      </c>
      <c r="J180" s="1">
        <v>38760</v>
      </c>
      <c r="K180" s="1">
        <v>38760</v>
      </c>
      <c r="L180" s="35">
        <v>0.98</v>
      </c>
      <c r="M180" s="78">
        <f t="shared" si="25"/>
        <v>39551.020408163269</v>
      </c>
      <c r="N180" s="79">
        <f t="shared" si="26"/>
        <v>0.97999999999999987</v>
      </c>
      <c r="O180" s="80">
        <f t="shared" si="21"/>
        <v>0</v>
      </c>
      <c r="P180" s="19">
        <v>1350</v>
      </c>
      <c r="Q180" s="19">
        <v>0</v>
      </c>
      <c r="R180" s="81">
        <f t="shared" si="22"/>
        <v>1350</v>
      </c>
      <c r="S180" s="82">
        <f t="shared" si="27"/>
        <v>0.81194867682437855</v>
      </c>
      <c r="T180" s="83" t="s">
        <v>164</v>
      </c>
      <c r="U180" s="83" t="s">
        <v>159</v>
      </c>
      <c r="V180" s="83" t="s">
        <v>160</v>
      </c>
      <c r="W180" s="113">
        <f t="shared" si="28"/>
        <v>30</v>
      </c>
      <c r="AA180" s="75" t="s">
        <v>108</v>
      </c>
      <c r="AB180" s="44"/>
    </row>
    <row r="181" spans="1:28" ht="15">
      <c r="A181" s="15" t="e">
        <f t="shared" si="24"/>
        <v>#REF!</v>
      </c>
      <c r="B181" s="15" t="s">
        <v>402</v>
      </c>
      <c r="C181" s="16">
        <v>2021</v>
      </c>
      <c r="D181" s="75" t="s">
        <v>43</v>
      </c>
      <c r="E181" s="16" t="s">
        <v>190</v>
      </c>
      <c r="F181" s="17">
        <v>4</v>
      </c>
      <c r="G181" s="75" t="s">
        <v>109</v>
      </c>
      <c r="H181" s="75" t="s">
        <v>104</v>
      </c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No</v>
      </c>
      <c r="J181" s="18">
        <v>31464</v>
      </c>
      <c r="K181" s="18">
        <v>31464</v>
      </c>
      <c r="L181" s="35">
        <v>0.98</v>
      </c>
      <c r="M181" s="78">
        <f t="shared" si="25"/>
        <v>32106.122448979593</v>
      </c>
      <c r="N181" s="79">
        <f t="shared" si="26"/>
        <v>0.98</v>
      </c>
      <c r="O181" s="80">
        <f t="shared" si="21"/>
        <v>0</v>
      </c>
      <c r="P181" s="19">
        <v>5769</v>
      </c>
      <c r="Q181" s="19">
        <v>1541.6</v>
      </c>
      <c r="R181" s="81">
        <f t="shared" si="22"/>
        <v>7310.6</v>
      </c>
      <c r="S181" s="82">
        <f t="shared" si="27"/>
        <v>25.606304728546412</v>
      </c>
      <c r="T181" s="83" t="s">
        <v>161</v>
      </c>
      <c r="U181" s="83" t="s">
        <v>159</v>
      </c>
      <c r="V181" s="83" t="s">
        <v>160</v>
      </c>
      <c r="W181" s="113">
        <f t="shared" si="28"/>
        <v>30</v>
      </c>
      <c r="AA181" s="75" t="s">
        <v>108</v>
      </c>
      <c r="AB181" s="44">
        <v>500</v>
      </c>
    </row>
    <row r="182" spans="1:28" ht="15">
      <c r="A182" s="15" t="e">
        <f t="shared" si="24"/>
        <v>#REF!</v>
      </c>
      <c r="B182" s="15" t="s">
        <v>403</v>
      </c>
      <c r="C182" s="16">
        <v>2016</v>
      </c>
      <c r="D182" s="75" t="s">
        <v>17</v>
      </c>
      <c r="E182" s="16" t="s">
        <v>182</v>
      </c>
      <c r="F182" s="17">
        <v>24</v>
      </c>
      <c r="G182" s="75" t="s">
        <v>110</v>
      </c>
      <c r="H182" s="75" t="s">
        <v>104</v>
      </c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Yes</v>
      </c>
      <c r="J182" s="18">
        <v>24500</v>
      </c>
      <c r="K182" s="18">
        <v>24500</v>
      </c>
      <c r="L182" s="35">
        <v>0.98</v>
      </c>
      <c r="M182" s="78">
        <f t="shared" si="25"/>
        <v>25000</v>
      </c>
      <c r="N182" s="79">
        <f t="shared" si="26"/>
        <v>0.98</v>
      </c>
      <c r="O182" s="80">
        <f t="shared" si="21"/>
        <v>0</v>
      </c>
      <c r="P182" s="19">
        <v>1363.14</v>
      </c>
      <c r="Q182" s="19">
        <v>2966.18</v>
      </c>
      <c r="R182" s="81">
        <f t="shared" si="22"/>
        <v>4329.32</v>
      </c>
      <c r="S182" s="82">
        <f t="shared" si="27"/>
        <v>2.8067680748381587</v>
      </c>
      <c r="T182" s="83" t="s">
        <v>165</v>
      </c>
      <c r="U182" s="83" t="s">
        <v>166</v>
      </c>
      <c r="V182" s="83" t="s">
        <v>160</v>
      </c>
      <c r="W182" s="113">
        <f t="shared" si="28"/>
        <v>30</v>
      </c>
      <c r="AA182" s="75" t="s">
        <v>108</v>
      </c>
      <c r="AB182" s="44">
        <v>0</v>
      </c>
    </row>
    <row r="183" spans="1:28" ht="15">
      <c r="A183" s="15" t="e">
        <f t="shared" si="24"/>
        <v>#REF!</v>
      </c>
      <c r="B183" s="15" t="s">
        <v>404</v>
      </c>
      <c r="C183" s="16">
        <v>2017</v>
      </c>
      <c r="D183" s="75" t="s">
        <v>54</v>
      </c>
      <c r="E183" s="16" t="s">
        <v>405</v>
      </c>
      <c r="F183" s="17">
        <v>82</v>
      </c>
      <c r="G183" s="75" t="s">
        <v>110</v>
      </c>
      <c r="H183" s="75" t="s">
        <v>104</v>
      </c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No</v>
      </c>
      <c r="J183" s="18">
        <v>27846</v>
      </c>
      <c r="K183" s="18">
        <v>27846</v>
      </c>
      <c r="L183" s="35">
        <v>0.97</v>
      </c>
      <c r="M183" s="78">
        <f t="shared" si="25"/>
        <v>28707.216494845361</v>
      </c>
      <c r="N183" s="79">
        <f t="shared" si="26"/>
        <v>0.97</v>
      </c>
      <c r="O183" s="80">
        <f t="shared" si="21"/>
        <v>0</v>
      </c>
      <c r="P183" s="19">
        <v>4279.0599999999995</v>
      </c>
      <c r="Q183" s="19">
        <v>3167.65</v>
      </c>
      <c r="R183" s="81">
        <f t="shared" si="22"/>
        <v>7446.7099999999991</v>
      </c>
      <c r="S183" s="82">
        <f t="shared" si="27"/>
        <v>1.3872345400264823</v>
      </c>
      <c r="T183" s="83" t="s">
        <v>164</v>
      </c>
      <c r="U183" s="83" t="s">
        <v>159</v>
      </c>
      <c r="V183" s="83" t="s">
        <v>160</v>
      </c>
      <c r="W183" s="113">
        <f t="shared" si="28"/>
        <v>90</v>
      </c>
      <c r="AA183" s="75" t="s">
        <v>108</v>
      </c>
      <c r="AB183" s="44">
        <v>2000</v>
      </c>
    </row>
    <row r="184" spans="1:28" ht="15">
      <c r="A184" s="15" t="e">
        <f t="shared" si="24"/>
        <v>#REF!</v>
      </c>
      <c r="B184" s="15" t="s">
        <v>406</v>
      </c>
      <c r="C184" s="16">
        <v>2022</v>
      </c>
      <c r="D184" s="75" t="s">
        <v>26</v>
      </c>
      <c r="E184" s="16" t="s">
        <v>303</v>
      </c>
      <c r="F184" s="17">
        <v>14</v>
      </c>
      <c r="G184" s="75" t="s">
        <v>103</v>
      </c>
      <c r="H184" s="75" t="s">
        <v>104</v>
      </c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No</v>
      </c>
      <c r="J184" s="1">
        <v>29565</v>
      </c>
      <c r="K184" s="1">
        <v>29565</v>
      </c>
      <c r="L184" s="35">
        <v>1</v>
      </c>
      <c r="M184" s="78">
        <f t="shared" si="25"/>
        <v>29565</v>
      </c>
      <c r="N184" s="79">
        <f t="shared" si="26"/>
        <v>1</v>
      </c>
      <c r="O184" s="80">
        <f t="shared" si="21"/>
        <v>0</v>
      </c>
      <c r="P184" s="19">
        <v>4261.63</v>
      </c>
      <c r="Q184" s="19">
        <v>1993.83</v>
      </c>
      <c r="R184" s="81">
        <f t="shared" si="22"/>
        <v>6255.46</v>
      </c>
      <c r="S184" s="82">
        <f t="shared" si="27"/>
        <v>6.357045947408813</v>
      </c>
      <c r="T184" s="83" t="s">
        <v>164</v>
      </c>
      <c r="U184" s="83" t="s">
        <v>159</v>
      </c>
      <c r="V184" s="83" t="s">
        <v>160</v>
      </c>
      <c r="W184" s="113">
        <f t="shared" si="28"/>
        <v>30</v>
      </c>
      <c r="AA184" s="75" t="s">
        <v>104</v>
      </c>
      <c r="AB184" s="44"/>
    </row>
    <row r="185" spans="1:28" ht="15">
      <c r="A185" s="15" t="e">
        <f t="shared" si="24"/>
        <v>#REF!</v>
      </c>
      <c r="B185" s="15" t="s">
        <v>407</v>
      </c>
      <c r="C185" s="16">
        <v>2016</v>
      </c>
      <c r="D185" s="75" t="s">
        <v>47</v>
      </c>
      <c r="E185" s="16">
        <v>1500</v>
      </c>
      <c r="F185" s="17">
        <v>55</v>
      </c>
      <c r="G185" s="75" t="s">
        <v>120</v>
      </c>
      <c r="H185" s="75" t="s">
        <v>104</v>
      </c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No</v>
      </c>
      <c r="J185" s="1">
        <v>24800</v>
      </c>
      <c r="K185" s="1">
        <v>24800</v>
      </c>
      <c r="L185" s="35">
        <v>0.97</v>
      </c>
      <c r="M185" s="78">
        <f t="shared" si="25"/>
        <v>25567.01030927835</v>
      </c>
      <c r="N185" s="79">
        <f t="shared" si="26"/>
        <v>0.97</v>
      </c>
      <c r="O185" s="80">
        <f t="shared" si="21"/>
        <v>0</v>
      </c>
      <c r="P185" s="19">
        <v>3771.85</v>
      </c>
      <c r="Q185" s="19">
        <v>810.66</v>
      </c>
      <c r="R185" s="81">
        <f t="shared" si="22"/>
        <v>4582.51</v>
      </c>
      <c r="S185" s="82">
        <f t="shared" si="27"/>
        <v>1.4264027462753932</v>
      </c>
      <c r="T185" s="83" t="s">
        <v>162</v>
      </c>
      <c r="U185" s="83" t="s">
        <v>166</v>
      </c>
      <c r="V185" s="83" t="s">
        <v>160</v>
      </c>
      <c r="W185" s="113">
        <f t="shared" si="28"/>
        <v>60</v>
      </c>
      <c r="AA185" s="75" t="s">
        <v>108</v>
      </c>
      <c r="AB185" s="44">
        <v>0</v>
      </c>
    </row>
    <row r="186" spans="1:28" ht="15">
      <c r="A186" s="15" t="e">
        <f t="shared" si="24"/>
        <v>#REF!</v>
      </c>
      <c r="B186" s="15" t="s">
        <v>408</v>
      </c>
      <c r="C186" s="16">
        <v>2018</v>
      </c>
      <c r="D186" s="75" t="s">
        <v>21</v>
      </c>
      <c r="E186" s="16" t="s">
        <v>409</v>
      </c>
      <c r="F186" s="17">
        <v>1</v>
      </c>
      <c r="G186" s="75" t="s">
        <v>109</v>
      </c>
      <c r="H186" s="75" t="s">
        <v>104</v>
      </c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No</v>
      </c>
      <c r="J186" s="1">
        <v>18824</v>
      </c>
      <c r="K186" s="1">
        <v>18824</v>
      </c>
      <c r="L186" s="35">
        <v>1</v>
      </c>
      <c r="M186" s="78">
        <f t="shared" si="25"/>
        <v>18824</v>
      </c>
      <c r="N186" s="79">
        <f t="shared" si="26"/>
        <v>1</v>
      </c>
      <c r="O186" s="80">
        <f t="shared" si="21"/>
        <v>0</v>
      </c>
      <c r="P186" s="19">
        <v>3174</v>
      </c>
      <c r="Q186" s="19">
        <v>1757.79</v>
      </c>
      <c r="R186" s="81">
        <f t="shared" si="22"/>
        <v>4931.79</v>
      </c>
      <c r="S186" s="82">
        <f t="shared" si="27"/>
        <v>113.44692651757188</v>
      </c>
      <c r="T186" s="83" t="s">
        <v>162</v>
      </c>
      <c r="U186" s="83" t="s">
        <v>166</v>
      </c>
      <c r="V186" s="83" t="s">
        <v>160</v>
      </c>
      <c r="W186" s="113">
        <f t="shared" si="28"/>
        <v>30</v>
      </c>
      <c r="AA186" s="75" t="s">
        <v>108</v>
      </c>
      <c r="AB186" s="44">
        <v>1000</v>
      </c>
    </row>
    <row r="187" spans="1:28" ht="15">
      <c r="A187" s="15" t="e">
        <f t="shared" si="24"/>
        <v>#REF!</v>
      </c>
      <c r="B187" s="15" t="s">
        <v>410</v>
      </c>
      <c r="C187" s="16">
        <v>2018</v>
      </c>
      <c r="D187" s="75" t="s">
        <v>17</v>
      </c>
      <c r="E187" s="16" t="s">
        <v>102</v>
      </c>
      <c r="F187" s="17">
        <v>11</v>
      </c>
      <c r="G187" s="75" t="s">
        <v>110</v>
      </c>
      <c r="H187" s="75" t="s">
        <v>104</v>
      </c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Yes</v>
      </c>
      <c r="J187" s="18">
        <v>17678.89</v>
      </c>
      <c r="K187" s="18">
        <v>17678.89</v>
      </c>
      <c r="L187" s="35">
        <v>0.97</v>
      </c>
      <c r="M187" s="78">
        <f t="shared" si="25"/>
        <v>18225.659793814433</v>
      </c>
      <c r="N187" s="79">
        <f t="shared" si="26"/>
        <v>0.97</v>
      </c>
      <c r="O187" s="80">
        <f t="shared" si="21"/>
        <v>0</v>
      </c>
      <c r="P187" s="19">
        <v>-2245.4</v>
      </c>
      <c r="Q187" s="19">
        <v>7261.3</v>
      </c>
      <c r="R187" s="81">
        <f t="shared" si="22"/>
        <v>5015.8999999999996</v>
      </c>
      <c r="S187" s="82">
        <f t="shared" si="27"/>
        <v>8.2390251935063805</v>
      </c>
      <c r="T187" s="83" t="s">
        <v>164</v>
      </c>
      <c r="U187" s="83" t="s">
        <v>159</v>
      </c>
      <c r="V187" s="83" t="s">
        <v>160</v>
      </c>
      <c r="W187" s="113">
        <f t="shared" si="28"/>
        <v>30</v>
      </c>
      <c r="AA187" s="75" t="s">
        <v>104</v>
      </c>
      <c r="AB187" s="44"/>
    </row>
    <row r="188" spans="1:28" ht="15">
      <c r="A188" s="15" t="e">
        <f t="shared" si="24"/>
        <v>#REF!</v>
      </c>
      <c r="B188" s="15" t="s">
        <v>411</v>
      </c>
      <c r="C188" s="16">
        <v>2007</v>
      </c>
      <c r="D188" s="75" t="s">
        <v>45</v>
      </c>
      <c r="E188" s="16" t="s">
        <v>412</v>
      </c>
      <c r="F188" s="17">
        <v>19</v>
      </c>
      <c r="G188" s="75" t="s">
        <v>110</v>
      </c>
      <c r="H188" s="75" t="s">
        <v>104</v>
      </c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No</v>
      </c>
      <c r="J188" s="18">
        <v>13450</v>
      </c>
      <c r="K188" s="18">
        <v>13450</v>
      </c>
      <c r="L188" s="35">
        <v>1</v>
      </c>
      <c r="M188" s="78">
        <f t="shared" si="25"/>
        <v>13450</v>
      </c>
      <c r="N188" s="79">
        <f t="shared" si="26"/>
        <v>1</v>
      </c>
      <c r="O188" s="80">
        <f t="shared" si="21"/>
        <v>0</v>
      </c>
      <c r="P188" s="19">
        <v>2450</v>
      </c>
      <c r="Q188" s="19">
        <v>0</v>
      </c>
      <c r="R188" s="81">
        <f t="shared" si="22"/>
        <v>2450</v>
      </c>
      <c r="S188" s="82">
        <f t="shared" si="27"/>
        <v>4.2200956937799035</v>
      </c>
      <c r="T188" s="83" t="s">
        <v>175</v>
      </c>
      <c r="U188" s="83" t="s">
        <v>159</v>
      </c>
      <c r="V188" s="83" t="s">
        <v>160</v>
      </c>
      <c r="W188" s="113">
        <f t="shared" si="28"/>
        <v>30</v>
      </c>
      <c r="AA188" s="75" t="s">
        <v>104</v>
      </c>
      <c r="AB188" s="44"/>
    </row>
    <row r="189" spans="1:28" ht="15">
      <c r="A189" s="15" t="e">
        <f t="shared" si="24"/>
        <v>#REF!</v>
      </c>
      <c r="B189" s="15" t="s">
        <v>398</v>
      </c>
      <c r="C189" s="16">
        <v>2015</v>
      </c>
      <c r="D189" s="75" t="s">
        <v>17</v>
      </c>
      <c r="E189" s="16" t="s">
        <v>274</v>
      </c>
      <c r="F189" s="17">
        <v>46</v>
      </c>
      <c r="G189" s="75" t="s">
        <v>110</v>
      </c>
      <c r="H189" s="75" t="s">
        <v>104</v>
      </c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Yes</v>
      </c>
      <c r="J189" s="18">
        <v>38499</v>
      </c>
      <c r="K189" s="18">
        <v>38499</v>
      </c>
      <c r="L189" s="35">
        <v>0.97</v>
      </c>
      <c r="M189" s="78">
        <f t="shared" si="25"/>
        <v>39689.690721649487</v>
      </c>
      <c r="N189" s="79">
        <f t="shared" si="26"/>
        <v>0.97</v>
      </c>
      <c r="O189" s="80">
        <f t="shared" si="21"/>
        <v>0</v>
      </c>
      <c r="P189" s="19">
        <v>3867.14</v>
      </c>
      <c r="Q189" s="19">
        <v>0</v>
      </c>
      <c r="R189" s="81">
        <f t="shared" si="22"/>
        <v>3867.14</v>
      </c>
      <c r="S189" s="82">
        <f t="shared" si="27"/>
        <v>0.87389397834951621</v>
      </c>
      <c r="T189" s="83" t="s">
        <v>175</v>
      </c>
      <c r="U189" s="83" t="s">
        <v>159</v>
      </c>
      <c r="V189" s="83" t="s">
        <v>160</v>
      </c>
      <c r="W189" s="113">
        <f t="shared" si="28"/>
        <v>60</v>
      </c>
      <c r="AA189" s="75" t="s">
        <v>104</v>
      </c>
      <c r="AB189" s="44"/>
    </row>
    <row r="190" spans="1:28" ht="15">
      <c r="A190" s="15" t="e">
        <f t="shared" si="24"/>
        <v>#REF!</v>
      </c>
      <c r="B190" s="15" t="s">
        <v>413</v>
      </c>
      <c r="C190" s="16">
        <v>2020</v>
      </c>
      <c r="D190" s="75" t="s">
        <v>17</v>
      </c>
      <c r="E190" s="16" t="s">
        <v>192</v>
      </c>
      <c r="F190" s="17">
        <v>46</v>
      </c>
      <c r="G190" s="75" t="s">
        <v>110</v>
      </c>
      <c r="H190" s="75" t="s">
        <v>104</v>
      </c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Yes</v>
      </c>
      <c r="J190" s="1">
        <v>30240</v>
      </c>
      <c r="K190" s="1">
        <v>30240</v>
      </c>
      <c r="L190" s="35">
        <v>1</v>
      </c>
      <c r="M190" s="78">
        <f t="shared" si="25"/>
        <v>30240</v>
      </c>
      <c r="N190" s="79">
        <f t="shared" si="26"/>
        <v>1</v>
      </c>
      <c r="O190" s="80">
        <f t="shared" si="21"/>
        <v>0</v>
      </c>
      <c r="P190" s="19">
        <v>1388.14</v>
      </c>
      <c r="Q190" s="19">
        <v>138.19999999999999</v>
      </c>
      <c r="R190" s="81">
        <f t="shared" si="22"/>
        <v>1526.3400000000001</v>
      </c>
      <c r="S190" s="82">
        <f t="shared" si="27"/>
        <v>0.4140207794304212</v>
      </c>
      <c r="T190" s="83" t="s">
        <v>163</v>
      </c>
      <c r="U190" s="83" t="s">
        <v>166</v>
      </c>
      <c r="V190" s="83" t="s">
        <v>160</v>
      </c>
      <c r="W190" s="113">
        <f t="shared" si="28"/>
        <v>60</v>
      </c>
      <c r="AA190" s="75" t="s">
        <v>104</v>
      </c>
      <c r="AB190" s="44"/>
    </row>
    <row r="191" spans="1:28" ht="15">
      <c r="A191" s="15" t="e">
        <f t="shared" si="24"/>
        <v>#REF!</v>
      </c>
      <c r="B191" s="15" t="s">
        <v>414</v>
      </c>
      <c r="C191" s="16">
        <v>2020</v>
      </c>
      <c r="D191" s="75" t="s">
        <v>19</v>
      </c>
      <c r="E191" s="16" t="s">
        <v>355</v>
      </c>
      <c r="F191" s="17">
        <v>34</v>
      </c>
      <c r="G191" s="75" t="s">
        <v>120</v>
      </c>
      <c r="H191" s="75" t="s">
        <v>104</v>
      </c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No</v>
      </c>
      <c r="J191" s="18">
        <v>25900</v>
      </c>
      <c r="K191" s="18">
        <v>25900</v>
      </c>
      <c r="L191" s="35">
        <v>0.97</v>
      </c>
      <c r="M191" s="78">
        <f t="shared" si="25"/>
        <v>26701.030927835051</v>
      </c>
      <c r="N191" s="79">
        <f t="shared" si="26"/>
        <v>0.97000000000000008</v>
      </c>
      <c r="O191" s="80">
        <f t="shared" si="21"/>
        <v>0</v>
      </c>
      <c r="P191" s="19">
        <v>2038.65</v>
      </c>
      <c r="Q191" s="19">
        <v>8130.93</v>
      </c>
      <c r="R191" s="81">
        <f t="shared" si="22"/>
        <v>10169.58</v>
      </c>
      <c r="S191" s="82">
        <f t="shared" si="27"/>
        <v>4.5126493631899676</v>
      </c>
      <c r="T191" s="83" t="s">
        <v>164</v>
      </c>
      <c r="U191" s="83" t="s">
        <v>159</v>
      </c>
      <c r="V191" s="83" t="s">
        <v>160</v>
      </c>
      <c r="W191" s="113">
        <f t="shared" si="28"/>
        <v>45</v>
      </c>
      <c r="AA191" s="75" t="s">
        <v>108</v>
      </c>
      <c r="AB191" s="44">
        <v>-1015.82</v>
      </c>
    </row>
    <row r="192" spans="1:28" ht="15">
      <c r="A192" s="15" t="e">
        <f t="shared" si="24"/>
        <v>#REF!</v>
      </c>
      <c r="B192" s="15" t="s">
        <v>415</v>
      </c>
      <c r="C192" s="16">
        <v>2017</v>
      </c>
      <c r="D192" s="75" t="s">
        <v>21</v>
      </c>
      <c r="E192" s="16" t="s">
        <v>195</v>
      </c>
      <c r="F192" s="17">
        <v>3</v>
      </c>
      <c r="G192" s="75" t="s">
        <v>112</v>
      </c>
      <c r="H192" s="75" t="s">
        <v>104</v>
      </c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No</v>
      </c>
      <c r="J192" s="18">
        <v>24800</v>
      </c>
      <c r="K192" s="18">
        <v>24800</v>
      </c>
      <c r="L192" s="35">
        <v>1</v>
      </c>
      <c r="M192" s="78">
        <f t="shared" si="25"/>
        <v>24800</v>
      </c>
      <c r="N192" s="79">
        <f t="shared" si="26"/>
        <v>1</v>
      </c>
      <c r="O192" s="80">
        <f t="shared" si="21"/>
        <v>0</v>
      </c>
      <c r="P192" s="19">
        <v>1650</v>
      </c>
      <c r="Q192" s="19"/>
      <c r="R192" s="81">
        <f t="shared" si="22"/>
        <v>1650</v>
      </c>
      <c r="S192" s="82">
        <f t="shared" si="27"/>
        <v>8.5529157667386606</v>
      </c>
      <c r="T192" s="83" t="s">
        <v>163</v>
      </c>
      <c r="U192" s="83" t="s">
        <v>159</v>
      </c>
      <c r="V192" s="83" t="s">
        <v>160</v>
      </c>
      <c r="W192" s="113">
        <f t="shared" si="28"/>
        <v>30</v>
      </c>
      <c r="AA192" s="75" t="s">
        <v>108</v>
      </c>
      <c r="AB192" s="44">
        <v>0</v>
      </c>
    </row>
    <row r="193" spans="1:28" ht="15">
      <c r="A193" s="15" t="e">
        <f t="shared" si="24"/>
        <v>#REF!</v>
      </c>
      <c r="B193" s="15" t="s">
        <v>416</v>
      </c>
      <c r="C193" s="16">
        <v>2023</v>
      </c>
      <c r="D193" s="75" t="s">
        <v>30</v>
      </c>
      <c r="E193" s="16" t="s">
        <v>417</v>
      </c>
      <c r="F193" s="17">
        <v>97</v>
      </c>
      <c r="G193" s="75" t="s">
        <v>110</v>
      </c>
      <c r="H193" s="75" t="s">
        <v>104</v>
      </c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No</v>
      </c>
      <c r="J193" s="18">
        <v>27850</v>
      </c>
      <c r="K193" s="18">
        <v>27850</v>
      </c>
      <c r="L193" s="35">
        <v>0.98</v>
      </c>
      <c r="M193" s="78">
        <f t="shared" si="25"/>
        <v>28418.367346938776</v>
      </c>
      <c r="N193" s="79">
        <f t="shared" si="26"/>
        <v>0.98</v>
      </c>
      <c r="O193" s="80">
        <f t="shared" si="21"/>
        <v>0</v>
      </c>
      <c r="P193" s="19">
        <v>2335.84</v>
      </c>
      <c r="Q193" s="19">
        <v>2348.0100000000002</v>
      </c>
      <c r="R193" s="81">
        <f t="shared" si="22"/>
        <v>4683.8500000000004</v>
      </c>
      <c r="S193" s="82">
        <f t="shared" si="27"/>
        <v>0.68132209035070213</v>
      </c>
      <c r="T193" s="83" t="s">
        <v>162</v>
      </c>
      <c r="U193" s="83" t="s">
        <v>159</v>
      </c>
      <c r="V193" s="83" t="s">
        <v>160</v>
      </c>
      <c r="W193" s="113">
        <f t="shared" si="28"/>
        <v>91</v>
      </c>
      <c r="AA193" s="75" t="s">
        <v>108</v>
      </c>
      <c r="AB193" s="44">
        <v>0</v>
      </c>
    </row>
    <row r="194" spans="1:28" ht="15">
      <c r="A194" s="15" t="e">
        <f t="shared" si="24"/>
        <v>#REF!</v>
      </c>
      <c r="B194" s="15" t="s">
        <v>273</v>
      </c>
      <c r="C194" s="16">
        <v>2020</v>
      </c>
      <c r="D194" s="75" t="s">
        <v>29</v>
      </c>
      <c r="E194" s="16" t="s">
        <v>258</v>
      </c>
      <c r="F194" s="17">
        <v>58</v>
      </c>
      <c r="G194" s="75" t="s">
        <v>109</v>
      </c>
      <c r="H194" s="75" t="s">
        <v>104</v>
      </c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No</v>
      </c>
      <c r="J194" s="1">
        <v>24985</v>
      </c>
      <c r="K194" s="1">
        <v>24985</v>
      </c>
      <c r="L194" s="35">
        <v>0.99</v>
      </c>
      <c r="M194" s="78">
        <f t="shared" si="25"/>
        <v>25237.373737373739</v>
      </c>
      <c r="N194" s="79">
        <f t="shared" si="26"/>
        <v>0.99</v>
      </c>
      <c r="O194" s="80">
        <f t="shared" si="21"/>
        <v>0</v>
      </c>
      <c r="P194" s="19">
        <v>4426.5</v>
      </c>
      <c r="Q194" s="19">
        <v>2162.67</v>
      </c>
      <c r="R194" s="81">
        <f t="shared" si="22"/>
        <v>6589.17</v>
      </c>
      <c r="S194" s="82">
        <f t="shared" si="27"/>
        <v>1.9893618966230093</v>
      </c>
      <c r="T194" s="83" t="s">
        <v>163</v>
      </c>
      <c r="U194" s="83" t="s">
        <v>166</v>
      </c>
      <c r="V194" s="83" t="s">
        <v>160</v>
      </c>
      <c r="W194" s="113">
        <f t="shared" si="28"/>
        <v>60</v>
      </c>
      <c r="AA194" s="75" t="s">
        <v>108</v>
      </c>
      <c r="AB194" s="44">
        <v>1000</v>
      </c>
    </row>
    <row r="195" spans="1:28" ht="15">
      <c r="A195" s="15" t="e">
        <f t="shared" si="24"/>
        <v>#REF!</v>
      </c>
      <c r="B195" s="15" t="s">
        <v>418</v>
      </c>
      <c r="C195" s="16">
        <v>2016</v>
      </c>
      <c r="D195" s="75" t="s">
        <v>17</v>
      </c>
      <c r="E195" s="16" t="s">
        <v>187</v>
      </c>
      <c r="F195" s="17">
        <v>13</v>
      </c>
      <c r="G195" s="75" t="s">
        <v>103</v>
      </c>
      <c r="H195" s="75" t="s">
        <v>104</v>
      </c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Yes</v>
      </c>
      <c r="J195" s="1">
        <v>29111</v>
      </c>
      <c r="K195" s="1">
        <v>29111</v>
      </c>
      <c r="L195" s="35">
        <v>1</v>
      </c>
      <c r="M195" s="78">
        <f t="shared" si="25"/>
        <v>29111</v>
      </c>
      <c r="N195" s="79">
        <f t="shared" si="26"/>
        <v>1</v>
      </c>
      <c r="O195" s="80">
        <f t="shared" si="21"/>
        <v>0</v>
      </c>
      <c r="P195" s="19">
        <v>6970.47</v>
      </c>
      <c r="Q195" s="19">
        <v>0</v>
      </c>
      <c r="R195" s="81">
        <f t="shared" si="22"/>
        <v>6970.47</v>
      </c>
      <c r="S195" s="82">
        <f t="shared" si="27"/>
        <v>8.7183278810398868</v>
      </c>
      <c r="T195" s="83" t="s">
        <v>175</v>
      </c>
      <c r="U195" s="83" t="s">
        <v>159</v>
      </c>
      <c r="V195" s="83" t="s">
        <v>160</v>
      </c>
      <c r="W195" s="113">
        <f t="shared" si="28"/>
        <v>30</v>
      </c>
      <c r="AA195" s="75" t="s">
        <v>104</v>
      </c>
      <c r="AB195" s="44"/>
    </row>
    <row r="196" spans="1:28" ht="15">
      <c r="A196" s="15" t="e">
        <f t="shared" si="24"/>
        <v>#REF!</v>
      </c>
      <c r="B196" s="15" t="s">
        <v>419</v>
      </c>
      <c r="C196" s="16">
        <v>2019</v>
      </c>
      <c r="D196" s="75" t="s">
        <v>17</v>
      </c>
      <c r="E196" s="16" t="s">
        <v>192</v>
      </c>
      <c r="F196" s="17">
        <v>9</v>
      </c>
      <c r="G196" s="75" t="s">
        <v>120</v>
      </c>
      <c r="H196" s="75" t="s">
        <v>104</v>
      </c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Yes</v>
      </c>
      <c r="J196" s="1">
        <v>26892</v>
      </c>
      <c r="K196" s="1">
        <v>26892</v>
      </c>
      <c r="L196" s="35">
        <v>0.99</v>
      </c>
      <c r="M196" s="78">
        <f t="shared" si="25"/>
        <v>27163.636363636364</v>
      </c>
      <c r="N196" s="79">
        <f t="shared" si="26"/>
        <v>0.99</v>
      </c>
      <c r="O196" s="80">
        <f t="shared" si="21"/>
        <v>0</v>
      </c>
      <c r="P196" s="19">
        <v>5742</v>
      </c>
      <c r="Q196" s="19">
        <v>4594.51</v>
      </c>
      <c r="R196" s="81">
        <f t="shared" si="22"/>
        <v>10336.51</v>
      </c>
      <c r="S196" s="82">
        <f t="shared" si="27"/>
        <v>19.548955082742317</v>
      </c>
      <c r="T196" s="83" t="s">
        <v>161</v>
      </c>
      <c r="U196" s="83" t="s">
        <v>159</v>
      </c>
      <c r="V196" s="83" t="s">
        <v>160</v>
      </c>
      <c r="W196" s="113">
        <f t="shared" si="28"/>
        <v>30</v>
      </c>
      <c r="AA196" s="75" t="s">
        <v>108</v>
      </c>
      <c r="AB196" s="44">
        <v>1500</v>
      </c>
    </row>
    <row r="197" spans="1:28" ht="15">
      <c r="A197" s="15" t="e">
        <f t="shared" si="24"/>
        <v>#REF!</v>
      </c>
      <c r="B197" s="15" t="s">
        <v>420</v>
      </c>
      <c r="C197" s="16">
        <v>2018</v>
      </c>
      <c r="D197" s="75" t="s">
        <v>47</v>
      </c>
      <c r="E197" s="16">
        <v>2500</v>
      </c>
      <c r="F197" s="17">
        <v>52</v>
      </c>
      <c r="G197" s="75" t="s">
        <v>120</v>
      </c>
      <c r="H197" s="75" t="s">
        <v>104</v>
      </c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No</v>
      </c>
      <c r="J197" s="18">
        <v>53000</v>
      </c>
      <c r="K197" s="18">
        <v>53000</v>
      </c>
      <c r="L197" s="35">
        <v>0.99</v>
      </c>
      <c r="M197" s="78">
        <f t="shared" si="25"/>
        <v>53535.353535353534</v>
      </c>
      <c r="N197" s="79">
        <f t="shared" si="26"/>
        <v>0.99</v>
      </c>
      <c r="O197" s="80">
        <f t="shared" si="21"/>
        <v>0</v>
      </c>
      <c r="P197" s="19">
        <v>4320.6100000000006</v>
      </c>
      <c r="Q197" s="19">
        <v>5654.76</v>
      </c>
      <c r="R197" s="81">
        <f t="shared" si="22"/>
        <v>9975.3700000000008</v>
      </c>
      <c r="S197" s="82">
        <f t="shared" si="27"/>
        <v>1.4186754157386494</v>
      </c>
      <c r="T197" s="83" t="s">
        <v>165</v>
      </c>
      <c r="U197" s="83" t="s">
        <v>159</v>
      </c>
      <c r="V197" s="83" t="s">
        <v>160</v>
      </c>
      <c r="W197" s="113">
        <f t="shared" si="28"/>
        <v>60</v>
      </c>
      <c r="AA197" s="75" t="s">
        <v>108</v>
      </c>
      <c r="AB197" s="44">
        <v>1000</v>
      </c>
    </row>
    <row r="198" spans="1:28" ht="15">
      <c r="A198" s="15" t="e">
        <f t="shared" si="24"/>
        <v>#REF!</v>
      </c>
      <c r="B198" s="15" t="s">
        <v>421</v>
      </c>
      <c r="C198" s="16">
        <v>2017</v>
      </c>
      <c r="D198" s="75" t="s">
        <v>17</v>
      </c>
      <c r="E198" s="16" t="s">
        <v>102</v>
      </c>
      <c r="F198" s="17">
        <v>52</v>
      </c>
      <c r="G198" s="75" t="s">
        <v>110</v>
      </c>
      <c r="H198" s="75" t="s">
        <v>104</v>
      </c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Yes</v>
      </c>
      <c r="J198" s="18">
        <v>16032.81</v>
      </c>
      <c r="K198" s="18">
        <v>16032.81</v>
      </c>
      <c r="L198" s="35">
        <v>0.99</v>
      </c>
      <c r="M198" s="78">
        <f t="shared" si="25"/>
        <v>16194.757575757576</v>
      </c>
      <c r="N198" s="79">
        <f t="shared" si="26"/>
        <v>0.99</v>
      </c>
      <c r="O198" s="80">
        <f t="shared" si="21"/>
        <v>0</v>
      </c>
      <c r="P198" s="19">
        <v>-2909.08</v>
      </c>
      <c r="Q198" s="19">
        <v>3513.16</v>
      </c>
      <c r="R198" s="81">
        <f t="shared" si="22"/>
        <v>604.07999999999993</v>
      </c>
      <c r="S198" s="82">
        <f t="shared" si="27"/>
        <v>0.22078537609986687</v>
      </c>
      <c r="T198" s="83" t="s">
        <v>161</v>
      </c>
      <c r="U198" s="83" t="s">
        <v>159</v>
      </c>
      <c r="V198" s="83" t="s">
        <v>160</v>
      </c>
      <c r="W198" s="113">
        <f t="shared" si="28"/>
        <v>60</v>
      </c>
      <c r="AA198" s="75" t="s">
        <v>108</v>
      </c>
      <c r="AB198" s="44">
        <v>250</v>
      </c>
    </row>
    <row r="199" spans="1:28" ht="15">
      <c r="A199" s="15" t="e">
        <f t="shared" si="24"/>
        <v>#REF!</v>
      </c>
      <c r="B199" s="15" t="s">
        <v>422</v>
      </c>
      <c r="C199" s="16">
        <v>2020</v>
      </c>
      <c r="D199" s="75" t="s">
        <v>15</v>
      </c>
      <c r="E199" s="16" t="s">
        <v>245</v>
      </c>
      <c r="F199" s="17">
        <v>11</v>
      </c>
      <c r="G199" s="75" t="s">
        <v>112</v>
      </c>
      <c r="H199" s="75" t="s">
        <v>104</v>
      </c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No</v>
      </c>
      <c r="J199" s="18">
        <v>30897</v>
      </c>
      <c r="K199" s="18">
        <v>30897</v>
      </c>
      <c r="L199" s="35">
        <v>0.99</v>
      </c>
      <c r="M199" s="78">
        <f t="shared" si="25"/>
        <v>31209.090909090908</v>
      </c>
      <c r="N199" s="79">
        <f t="shared" si="26"/>
        <v>0.99</v>
      </c>
      <c r="O199" s="80">
        <f t="shared" si="21"/>
        <v>0</v>
      </c>
      <c r="P199" s="19">
        <v>7736.63</v>
      </c>
      <c r="Q199" s="19">
        <v>3643.38</v>
      </c>
      <c r="R199" s="81">
        <f t="shared" si="22"/>
        <v>11380.01</v>
      </c>
      <c r="S199" s="82">
        <f t="shared" si="27"/>
        <v>16.080774655546996</v>
      </c>
      <c r="T199" s="83" t="s">
        <v>163</v>
      </c>
      <c r="U199" s="83" t="s">
        <v>159</v>
      </c>
      <c r="V199" s="83" t="s">
        <v>160</v>
      </c>
      <c r="W199" s="113">
        <f t="shared" si="28"/>
        <v>30</v>
      </c>
      <c r="AA199" s="75" t="s">
        <v>108</v>
      </c>
      <c r="AB199" s="44">
        <v>3000</v>
      </c>
    </row>
    <row r="200" spans="1:28" ht="15">
      <c r="A200" s="15" t="e">
        <f t="shared" si="24"/>
        <v>#REF!</v>
      </c>
      <c r="B200" s="15" t="s">
        <v>423</v>
      </c>
      <c r="C200" s="16">
        <v>2014</v>
      </c>
      <c r="D200" s="75" t="s">
        <v>21</v>
      </c>
      <c r="E200" s="16" t="s">
        <v>368</v>
      </c>
      <c r="F200" s="17">
        <v>1</v>
      </c>
      <c r="G200" s="75" t="s">
        <v>109</v>
      </c>
      <c r="H200" s="75" t="s">
        <v>104</v>
      </c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No</v>
      </c>
      <c r="J200" s="18">
        <v>14901</v>
      </c>
      <c r="K200" s="18">
        <v>14901</v>
      </c>
      <c r="L200" s="35">
        <v>0.99</v>
      </c>
      <c r="M200" s="78">
        <f t="shared" si="25"/>
        <v>15051.515151515152</v>
      </c>
      <c r="N200" s="79">
        <f t="shared" si="26"/>
        <v>0.99</v>
      </c>
      <c r="O200" s="80">
        <f t="shared" si="21"/>
        <v>0</v>
      </c>
      <c r="P200" s="19">
        <v>1399.61</v>
      </c>
      <c r="Q200" s="19">
        <v>789</v>
      </c>
      <c r="R200" s="81">
        <f t="shared" si="22"/>
        <v>2188.6099999999997</v>
      </c>
      <c r="S200" s="82">
        <f t="shared" si="27"/>
        <v>58.356924731453567</v>
      </c>
      <c r="T200" s="83" t="s">
        <v>162</v>
      </c>
      <c r="U200" s="83" t="s">
        <v>159</v>
      </c>
      <c r="V200" s="83" t="s">
        <v>160</v>
      </c>
      <c r="W200" s="113">
        <f t="shared" si="28"/>
        <v>30</v>
      </c>
      <c r="AA200" s="75" t="s">
        <v>104</v>
      </c>
      <c r="AB200" s="44"/>
    </row>
    <row r="201" spans="1:28" ht="15">
      <c r="A201" s="15" t="e">
        <f t="shared" si="24"/>
        <v>#REF!</v>
      </c>
      <c r="B201" s="15" t="s">
        <v>424</v>
      </c>
      <c r="C201" s="16">
        <v>2016</v>
      </c>
      <c r="D201" s="75" t="s">
        <v>17</v>
      </c>
      <c r="E201" s="16" t="s">
        <v>182</v>
      </c>
      <c r="F201" s="17">
        <v>24</v>
      </c>
      <c r="G201" s="75" t="s">
        <v>103</v>
      </c>
      <c r="H201" s="75" t="s">
        <v>104</v>
      </c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Yes</v>
      </c>
      <c r="J201" s="18">
        <v>15774</v>
      </c>
      <c r="K201" s="18">
        <v>15774</v>
      </c>
      <c r="L201" s="35">
        <v>0.98</v>
      </c>
      <c r="M201" s="78">
        <f t="shared" si="25"/>
        <v>16095.91836734694</v>
      </c>
      <c r="N201" s="79">
        <f t="shared" si="26"/>
        <v>0.98</v>
      </c>
      <c r="O201" s="80">
        <f t="shared" si="21"/>
        <v>0</v>
      </c>
      <c r="P201" s="19">
        <v>2708.12</v>
      </c>
      <c r="Q201" s="19">
        <v>546.48</v>
      </c>
      <c r="R201" s="81">
        <f t="shared" si="22"/>
        <v>3254.6</v>
      </c>
      <c r="S201" s="82">
        <f t="shared" si="27"/>
        <v>3.7363729040830007</v>
      </c>
      <c r="T201" s="83" t="s">
        <v>161</v>
      </c>
      <c r="U201" s="83" t="s">
        <v>159</v>
      </c>
      <c r="V201" s="83" t="s">
        <v>160</v>
      </c>
      <c r="W201" s="113">
        <f t="shared" si="28"/>
        <v>30</v>
      </c>
      <c r="AA201" s="75" t="s">
        <v>104</v>
      </c>
      <c r="AB201" s="44"/>
    </row>
    <row r="202" spans="1:28" ht="15">
      <c r="A202" s="15" t="e">
        <f t="shared" si="24"/>
        <v>#REF!</v>
      </c>
      <c r="B202" s="15" t="s">
        <v>411</v>
      </c>
      <c r="C202" s="16">
        <v>2007</v>
      </c>
      <c r="D202" s="75" t="s">
        <v>45</v>
      </c>
      <c r="E202" s="16" t="s">
        <v>412</v>
      </c>
      <c r="F202" s="17">
        <v>23</v>
      </c>
      <c r="G202" s="75" t="s">
        <v>110</v>
      </c>
      <c r="H202" s="75" t="s">
        <v>104</v>
      </c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No</v>
      </c>
      <c r="J202" s="18">
        <v>13450</v>
      </c>
      <c r="K202" s="18">
        <v>13450</v>
      </c>
      <c r="L202" s="35">
        <v>1.02</v>
      </c>
      <c r="M202" s="78">
        <f t="shared" si="25"/>
        <v>13186.274509803921</v>
      </c>
      <c r="N202" s="79">
        <f t="shared" si="26"/>
        <v>1.02</v>
      </c>
      <c r="O202" s="80">
        <f t="shared" si="21"/>
        <v>0</v>
      </c>
      <c r="P202" s="19">
        <v>2593.4499999999998</v>
      </c>
      <c r="Q202" s="19">
        <v>45</v>
      </c>
      <c r="R202" s="81">
        <f t="shared" si="22"/>
        <v>2638.45</v>
      </c>
      <c r="S202" s="82">
        <f t="shared" si="27"/>
        <v>3.8039228171812929</v>
      </c>
      <c r="T202" s="83" t="s">
        <v>165</v>
      </c>
      <c r="U202" s="83" t="s">
        <v>159</v>
      </c>
      <c r="V202" s="83" t="s">
        <v>160</v>
      </c>
      <c r="W202" s="113">
        <f t="shared" si="28"/>
        <v>30</v>
      </c>
      <c r="AA202" s="75" t="s">
        <v>104</v>
      </c>
      <c r="AB202" s="44"/>
    </row>
    <row r="203" spans="1:28" ht="15">
      <c r="A203" s="15" t="e">
        <f t="shared" si="24"/>
        <v>#REF!</v>
      </c>
      <c r="B203" s="15" t="s">
        <v>425</v>
      </c>
      <c r="C203" s="16">
        <v>2018</v>
      </c>
      <c r="D203" s="75" t="s">
        <v>29</v>
      </c>
      <c r="E203" s="16" t="s">
        <v>258</v>
      </c>
      <c r="F203" s="17">
        <v>5</v>
      </c>
      <c r="G203" s="75" t="s">
        <v>120</v>
      </c>
      <c r="H203" s="75" t="s">
        <v>104</v>
      </c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No</v>
      </c>
      <c r="J203" s="18">
        <v>19805</v>
      </c>
      <c r="K203" s="18">
        <v>19805</v>
      </c>
      <c r="L203" s="35">
        <v>1</v>
      </c>
      <c r="M203" s="78">
        <f t="shared" si="25"/>
        <v>19805</v>
      </c>
      <c r="N203" s="79">
        <f t="shared" si="26"/>
        <v>1</v>
      </c>
      <c r="O203" s="80">
        <f t="shared" si="21"/>
        <v>0</v>
      </c>
      <c r="P203" s="19">
        <v>2371.02</v>
      </c>
      <c r="Q203" s="19">
        <v>3016.74</v>
      </c>
      <c r="R203" s="81">
        <f t="shared" si="22"/>
        <v>5387.76</v>
      </c>
      <c r="S203" s="82">
        <f t="shared" si="27"/>
        <v>22.250726454888675</v>
      </c>
      <c r="T203" s="83" t="s">
        <v>161</v>
      </c>
      <c r="U203" s="83" t="s">
        <v>159</v>
      </c>
      <c r="V203" s="83" t="s">
        <v>160</v>
      </c>
      <c r="W203" s="113">
        <f t="shared" si="28"/>
        <v>30</v>
      </c>
      <c r="AA203" s="75" t="s">
        <v>104</v>
      </c>
      <c r="AB203" s="44"/>
    </row>
    <row r="204" spans="1:28" ht="15">
      <c r="A204" s="15" t="e">
        <f t="shared" si="24"/>
        <v>#REF!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5"/>
        <v>#DIV/0!</v>
      </c>
      <c r="N204" s="79" t="e">
        <f t="shared" si="26"/>
        <v>#DIV/0!</v>
      </c>
      <c r="O204" s="80" t="str">
        <f t="shared" ref="O204:O212" si="29">IF(K204=0,"BLANK",(J204-K204))</f>
        <v>BLANK</v>
      </c>
      <c r="P204" s="19"/>
      <c r="Q204" s="19"/>
      <c r="R204" s="81" t="str">
        <f t="shared" ref="R204:R212" si="30">IF(K204=0,"BLANK",SUM(P204:Q204))</f>
        <v>BLANK</v>
      </c>
      <c r="S204" s="82" t="e">
        <f t="shared" si="27"/>
        <v>#VALUE!</v>
      </c>
      <c r="T204" s="83"/>
      <c r="U204" s="83"/>
      <c r="V204" s="83"/>
      <c r="W204" s="113">
        <f t="shared" si="28"/>
        <v>0</v>
      </c>
      <c r="AA204" s="75"/>
      <c r="AB204" s="44"/>
    </row>
    <row r="205" spans="1:28" ht="15">
      <c r="A205" s="15" t="e">
        <f t="shared" si="24"/>
        <v>#REF!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5"/>
        <v>#DIV/0!</v>
      </c>
      <c r="N205" s="79" t="e">
        <f t="shared" si="26"/>
        <v>#DIV/0!</v>
      </c>
      <c r="O205" s="80" t="str">
        <f t="shared" si="29"/>
        <v>BLANK</v>
      </c>
      <c r="P205" s="19"/>
      <c r="Q205" s="19"/>
      <c r="R205" s="81" t="str">
        <f t="shared" si="30"/>
        <v>BLANK</v>
      </c>
      <c r="S205" s="82" t="e">
        <f t="shared" si="27"/>
        <v>#VALUE!</v>
      </c>
      <c r="T205" s="83"/>
      <c r="U205" s="83"/>
      <c r="V205" s="83"/>
      <c r="W205" s="113">
        <f t="shared" si="28"/>
        <v>0</v>
      </c>
      <c r="AA205" s="75"/>
      <c r="AB205" s="44"/>
    </row>
    <row r="206" spans="1:28" ht="15">
      <c r="A206" s="15" t="e">
        <f t="shared" ref="A206:A212" si="31">A205+1</f>
        <v>#REF!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ref="M206:M212" si="32">J206/L206</f>
        <v>#DIV/0!</v>
      </c>
      <c r="N206" s="79" t="e">
        <f t="shared" ref="N206:N212" si="33">K206/M206</f>
        <v>#DIV/0!</v>
      </c>
      <c r="O206" s="80" t="str">
        <f t="shared" si="29"/>
        <v>BLANK</v>
      </c>
      <c r="P206" s="19"/>
      <c r="Q206" s="19"/>
      <c r="R206" s="81" t="str">
        <f t="shared" si="30"/>
        <v>BLANK</v>
      </c>
      <c r="S206" s="82" t="e">
        <f t="shared" ref="S206:S212" si="34">(R206/(K206-P206))*(360/F206)</f>
        <v>#VALUE!</v>
      </c>
      <c r="T206" s="83"/>
      <c r="U206" s="83"/>
      <c r="V206" s="83"/>
      <c r="W206" s="113">
        <f t="shared" ref="W206:W212" si="35">IF(AND(F206&gt;0,F206&lt;=30),30,IF(AND(F206&gt;=31,F206&lt;=45),45,IF(AND(F206&gt;=46,F206&lt;=60),60,IF(AND(F206&gt;=61,F206&lt;=90),90,IF(F206&gt;=91,91,0)))))</f>
        <v>0</v>
      </c>
      <c r="AA206" s="75"/>
      <c r="AB206" s="44"/>
    </row>
    <row r="207" spans="1:28" ht="15">
      <c r="A207" s="15" t="e">
        <f t="shared" si="31"/>
        <v>#REF!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si="32"/>
        <v>#DIV/0!</v>
      </c>
      <c r="N207" s="79" t="e">
        <f t="shared" si="33"/>
        <v>#DIV/0!</v>
      </c>
      <c r="O207" s="80" t="str">
        <f t="shared" si="29"/>
        <v>BLANK</v>
      </c>
      <c r="P207" s="19"/>
      <c r="Q207" s="19"/>
      <c r="R207" s="81" t="str">
        <f t="shared" si="30"/>
        <v>BLANK</v>
      </c>
      <c r="S207" s="82" t="e">
        <f t="shared" si="34"/>
        <v>#VALUE!</v>
      </c>
      <c r="T207" s="83"/>
      <c r="U207" s="83"/>
      <c r="V207" s="83"/>
      <c r="W207" s="113">
        <f t="shared" si="35"/>
        <v>0</v>
      </c>
      <c r="AA207" s="75"/>
      <c r="AB207" s="44"/>
    </row>
    <row r="208" spans="1:28" ht="15">
      <c r="A208" s="15" t="e">
        <f t="shared" si="31"/>
        <v>#REF!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32"/>
        <v>#DIV/0!</v>
      </c>
      <c r="N208" s="79" t="e">
        <f t="shared" si="33"/>
        <v>#DIV/0!</v>
      </c>
      <c r="O208" s="80" t="str">
        <f t="shared" si="29"/>
        <v>BLANK</v>
      </c>
      <c r="P208" s="19"/>
      <c r="Q208" s="19"/>
      <c r="R208" s="81" t="str">
        <f t="shared" si="30"/>
        <v>BLANK</v>
      </c>
      <c r="S208" s="82" t="e">
        <f t="shared" si="34"/>
        <v>#VALUE!</v>
      </c>
      <c r="T208" s="83"/>
      <c r="U208" s="83"/>
      <c r="V208" s="83"/>
      <c r="W208" s="113">
        <f t="shared" si="35"/>
        <v>0</v>
      </c>
      <c r="AA208" s="75"/>
      <c r="AB208" s="44"/>
    </row>
    <row r="209" spans="1:28" ht="15">
      <c r="A209" s="15" t="e">
        <f t="shared" si="31"/>
        <v>#REF!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"/>
      <c r="L209" s="36"/>
      <c r="M209" s="78" t="e">
        <f t="shared" si="32"/>
        <v>#DIV/0!</v>
      </c>
      <c r="N209" s="79" t="e">
        <f t="shared" si="33"/>
        <v>#DIV/0!</v>
      </c>
      <c r="O209" s="80" t="str">
        <f t="shared" si="29"/>
        <v>BLANK</v>
      </c>
      <c r="P209" s="19"/>
      <c r="Q209" s="19"/>
      <c r="R209" s="81" t="str">
        <f t="shared" si="30"/>
        <v>BLANK</v>
      </c>
      <c r="S209" s="82" t="e">
        <f t="shared" si="34"/>
        <v>#VALUE!</v>
      </c>
      <c r="T209" s="83"/>
      <c r="U209" s="83"/>
      <c r="V209" s="83"/>
      <c r="W209" s="113">
        <f t="shared" si="35"/>
        <v>0</v>
      </c>
      <c r="AA209" s="75"/>
      <c r="AB209" s="44"/>
    </row>
    <row r="210" spans="1:28" ht="15">
      <c r="A210" s="15" t="e">
        <f t="shared" si="31"/>
        <v>#REF!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32"/>
        <v>#DIV/0!</v>
      </c>
      <c r="N210" s="79" t="e">
        <f t="shared" si="33"/>
        <v>#DIV/0!</v>
      </c>
      <c r="O210" s="80" t="str">
        <f t="shared" si="29"/>
        <v>BLANK</v>
      </c>
      <c r="P210" s="19"/>
      <c r="Q210" s="19"/>
      <c r="R210" s="81" t="str">
        <f t="shared" si="30"/>
        <v>BLANK</v>
      </c>
      <c r="S210" s="82" t="e">
        <f t="shared" si="34"/>
        <v>#VALUE!</v>
      </c>
      <c r="T210" s="83"/>
      <c r="U210" s="83"/>
      <c r="V210" s="83"/>
      <c r="W210" s="113">
        <f t="shared" si="35"/>
        <v>0</v>
      </c>
      <c r="AA210" s="75"/>
      <c r="AB210" s="44"/>
    </row>
    <row r="211" spans="1:28" ht="15">
      <c r="A211" s="15" t="e">
        <f t="shared" si="31"/>
        <v>#REF!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32"/>
        <v>#DIV/0!</v>
      </c>
      <c r="N211" s="79" t="e">
        <f t="shared" si="33"/>
        <v>#DIV/0!</v>
      </c>
      <c r="O211" s="80" t="str">
        <f t="shared" si="29"/>
        <v>BLANK</v>
      </c>
      <c r="P211" s="19"/>
      <c r="Q211" s="19"/>
      <c r="R211" s="81" t="str">
        <f t="shared" si="30"/>
        <v>BLANK</v>
      </c>
      <c r="S211" s="82" t="e">
        <f t="shared" si="34"/>
        <v>#VALUE!</v>
      </c>
      <c r="T211" s="83"/>
      <c r="U211" s="83"/>
      <c r="V211" s="83"/>
      <c r="W211" s="113">
        <f t="shared" si="35"/>
        <v>0</v>
      </c>
      <c r="AA211" s="75"/>
      <c r="AB211" s="44"/>
    </row>
    <row r="212" spans="1:28" thickBot="1">
      <c r="A212" s="15" t="e">
        <f t="shared" si="31"/>
        <v>#REF!</v>
      </c>
      <c r="B212" s="15"/>
      <c r="C212" s="16"/>
      <c r="D212" s="84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32"/>
        <v>#DIV/0!</v>
      </c>
      <c r="N212" s="79" t="e">
        <f t="shared" si="33"/>
        <v>#DIV/0!</v>
      </c>
      <c r="O212" s="80" t="str">
        <f t="shared" si="29"/>
        <v>BLANK</v>
      </c>
      <c r="P212" s="19"/>
      <c r="Q212" s="19"/>
      <c r="R212" s="81" t="str">
        <f t="shared" si="30"/>
        <v>BLANK</v>
      </c>
      <c r="S212" s="82" t="e">
        <f t="shared" si="34"/>
        <v>#VALUE!</v>
      </c>
      <c r="T212" s="83"/>
      <c r="U212" s="83"/>
      <c r="V212" s="83"/>
      <c r="W212" s="113">
        <f t="shared" si="35"/>
        <v>0</v>
      </c>
      <c r="AA212" s="84"/>
      <c r="AB212" s="44"/>
    </row>
    <row r="213" spans="1:28" ht="16.5" thickBot="1">
      <c r="A213" s="85" t="s">
        <v>121</v>
      </c>
      <c r="B213" s="86"/>
      <c r="C213" s="87"/>
      <c r="D213" s="88">
        <f>COUNTA(D14:D212)</f>
        <v>190</v>
      </c>
      <c r="E213" s="89" t="s">
        <v>122</v>
      </c>
      <c r="F213" s="90">
        <f>AVERAGE(F14:F212)</f>
        <v>26.7</v>
      </c>
      <c r="G213" s="91"/>
      <c r="H213" s="91"/>
      <c r="I213" s="92">
        <f>COUNTIF(I14:I212,"No")</f>
        <v>127</v>
      </c>
      <c r="J213" s="93">
        <f>AVERAGEIF(J14:J212,"&lt;&gt;BLANK")</f>
        <v>27943.859526315784</v>
      </c>
      <c r="K213" s="94">
        <f>AVERAGEIF(K14:K212,"&lt;&gt;BLANK")</f>
        <v>27871.358526315784</v>
      </c>
      <c r="L213" s="95">
        <f>AVERAGEIF(L14:L212,"&lt;&gt;BLANK")</f>
        <v>0.99900000000000033</v>
      </c>
      <c r="M213" s="94">
        <f>J213/L213</f>
        <v>27971.831357673447</v>
      </c>
      <c r="N213" s="96">
        <f t="shared" ref="N213" si="36">K213/M213</f>
        <v>0.99640807103142714</v>
      </c>
      <c r="O213" s="94">
        <f>AVERAGEIF(O14:O212,"&lt;&gt;BLANK")</f>
        <v>72.501000000000005</v>
      </c>
      <c r="P213" s="94">
        <f>AVERAGEIF(P14:P212,"&lt;&gt;BLANK")</f>
        <v>3386.0526842105269</v>
      </c>
      <c r="Q213" s="94">
        <f>AVERAGEIF(Q14:Q212,"&lt;&gt;BLANK")</f>
        <v>2496.6004574468079</v>
      </c>
      <c r="R213" s="97">
        <f>AVERAGEIF(R14:R212,"&lt;&gt;BLANK")</f>
        <v>5856.3731368421086</v>
      </c>
      <c r="S213" s="97" t="e">
        <f>AVERAGEIF(S14:S212,"&lt;&gt;BLANK")</f>
        <v>#VALUE!</v>
      </c>
      <c r="T213" s="98"/>
      <c r="U213" s="98"/>
      <c r="V213" s="98"/>
      <c r="W213" s="99">
        <f>AVERAGEIF(W163:W204,"&lt;&gt;0")</f>
        <v>40.634146341463413</v>
      </c>
      <c r="X213" s="99" t="e">
        <f>AVERAGEIF(X163:X204,"&lt;&gt;0")</f>
        <v>#DIV/0!</v>
      </c>
      <c r="AA213" s="100">
        <f>COUNTIF(AA14:AA212,"Yes")</f>
        <v>111</v>
      </c>
      <c r="AB213" s="101">
        <f>AVERAGEIF(AB14:AB212,"&lt;&gt;BLANK")</f>
        <v>675.559732142857</v>
      </c>
    </row>
    <row r="214" spans="1:28" s="98" customFormat="1">
      <c r="A214" s="102"/>
      <c r="B214" s="102"/>
      <c r="C214" s="103"/>
      <c r="D214" s="103"/>
      <c r="E214" s="103"/>
      <c r="F214" s="103"/>
      <c r="G214" s="102"/>
      <c r="H214" s="104"/>
      <c r="I214" s="104"/>
      <c r="P214" s="105"/>
      <c r="Q214" s="105"/>
    </row>
    <row r="215" spans="1:28" s="98" customFormat="1">
      <c r="A215" s="106"/>
      <c r="B215" s="106"/>
      <c r="C215" s="107"/>
      <c r="D215" s="107"/>
      <c r="E215" s="107"/>
      <c r="F215" s="107"/>
      <c r="G215" s="106"/>
      <c r="H215" s="104"/>
      <c r="I215" s="104"/>
      <c r="P215" s="108"/>
      <c r="Q215" s="108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AA13:AA212 H13:H212" xr:uid="{8AC2B94A-9F68-433D-90C2-4AF4779E76E9}">
      <formula1>$Y$13:$Y$14</formula1>
    </dataValidation>
    <dataValidation type="list" allowBlank="1" showInputMessage="1" showErrorMessage="1" sqref="G13:G212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00000000-0002-0000-0100-000002000000}">
          <x14:formula1>
            <xm:f>'Input Lists'!$C$2:$C$53</xm:f>
          </x14:formula1>
          <xm:sqref>T13:T212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U13:U212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V13:V212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5" sqref="B15"/>
    </sheetView>
  </sheetViews>
  <sheetFormatPr defaultRowHeight="15"/>
  <cols>
    <col min="1" max="1" width="36.5703125" customWidth="1"/>
    <col min="2" max="2" width="11.5703125" bestFit="1" customWidth="1"/>
    <col min="3" max="3" width="9" customWidth="1"/>
  </cols>
  <sheetData>
    <row r="1" spans="1:2" ht="22.5" customHeight="1">
      <c r="A1" s="33" t="s">
        <v>123</v>
      </c>
    </row>
    <row r="2" spans="1:2" ht="22.5" customHeight="1">
      <c r="A2" s="5" t="s">
        <v>124</v>
      </c>
      <c r="B2" s="14">
        <f>'Sales Log'!I213/'Scoreboard Total'!B3</f>
        <v>0.66842105263157892</v>
      </c>
    </row>
    <row r="3" spans="1:2" ht="22.5" customHeight="1">
      <c r="A3" s="5" t="s">
        <v>125</v>
      </c>
      <c r="B3" s="6">
        <f>'Sales Log'!D213</f>
        <v>190</v>
      </c>
    </row>
    <row r="4" spans="1:2" ht="21.75" customHeight="1">
      <c r="A4" s="5" t="s">
        <v>126</v>
      </c>
      <c r="B4" s="7">
        <f>'Sales Log'!$F$213</f>
        <v>26.7</v>
      </c>
    </row>
    <row r="5" spans="1:2" ht="22.5" customHeight="1">
      <c r="A5" s="5" t="s">
        <v>127</v>
      </c>
      <c r="B5" s="8">
        <f>'Sales Log'!$J$213</f>
        <v>27943.859526315784</v>
      </c>
    </row>
    <row r="6" spans="1:2" ht="22.5" customHeight="1">
      <c r="A6" s="5" t="s">
        <v>128</v>
      </c>
      <c r="B6" s="8">
        <f>'Sales Log'!$K$213</f>
        <v>27871.358526315784</v>
      </c>
    </row>
    <row r="7" spans="1:2" ht="22.5" customHeight="1">
      <c r="A7" s="5" t="s">
        <v>129</v>
      </c>
      <c r="B7" s="8">
        <f>'Sales Log'!$M$213</f>
        <v>27971.831357673447</v>
      </c>
    </row>
    <row r="8" spans="1:2" ht="22.5" customHeight="1">
      <c r="A8" s="5" t="s">
        <v>130</v>
      </c>
      <c r="B8" s="9">
        <f>'Sales Log'!L213</f>
        <v>0.99900000000000033</v>
      </c>
    </row>
    <row r="9" spans="1:2" ht="22.5" customHeight="1">
      <c r="A9" s="5" t="s">
        <v>131</v>
      </c>
      <c r="B9" s="9">
        <f>'Sales Log'!$N$213</f>
        <v>0.99640807103142714</v>
      </c>
    </row>
    <row r="10" spans="1:2" ht="22.5" customHeight="1">
      <c r="A10" s="5" t="s">
        <v>132</v>
      </c>
      <c r="B10" s="8">
        <f>'Sales Log'!$O$213</f>
        <v>72.501000000000005</v>
      </c>
    </row>
    <row r="11" spans="1:2" ht="22.5" customHeight="1">
      <c r="A11" s="5" t="s">
        <v>133</v>
      </c>
      <c r="B11" s="8">
        <f>'Sales Log'!$P$213</f>
        <v>3386.0526842105269</v>
      </c>
    </row>
    <row r="12" spans="1:2" ht="22.5" customHeight="1">
      <c r="A12" s="5" t="s">
        <v>134</v>
      </c>
      <c r="B12" s="8">
        <f>'Sales Log'!$Q$213</f>
        <v>2496.6004574468079</v>
      </c>
    </row>
    <row r="13" spans="1:2" ht="22.5" customHeight="1">
      <c r="A13" s="5" t="s">
        <v>135</v>
      </c>
      <c r="B13" s="8">
        <f>'Sales Log'!$R$213</f>
        <v>5856.3731368421086</v>
      </c>
    </row>
    <row r="14" spans="1:2" ht="21.75" customHeight="1">
      <c r="A14" s="5" t="s">
        <v>136</v>
      </c>
      <c r="B14" s="10">
        <f>B13*B3</f>
        <v>1112710.8960000006</v>
      </c>
    </row>
    <row r="15" spans="1:2" ht="21.75" customHeight="1">
      <c r="A15" s="5" t="s">
        <v>90</v>
      </c>
      <c r="B15" s="9">
        <f>(B13/(B6)*(360/B4))</f>
        <v>2.8330995905627123</v>
      </c>
    </row>
    <row r="16" spans="1:2" ht="21.75" customHeight="1">
      <c r="A16" s="5" t="s">
        <v>137</v>
      </c>
      <c r="B16" s="9">
        <f>'Sales Log'!AA213/'Scoreboard Total'!B3</f>
        <v>0.58421052631578951</v>
      </c>
    </row>
    <row r="17" spans="1:2" ht="21.75" customHeight="1">
      <c r="A17" s="5" t="s">
        <v>138</v>
      </c>
      <c r="B17" s="45">
        <f>'Sales Log'!$AB$213</f>
        <v>675.559732142857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D1" activePane="topRight" state="frozen"/>
      <selection pane="topRight" activeCell="F2" sqref="F2"/>
    </sheetView>
  </sheetViews>
  <sheetFormatPr defaultRowHeight="15"/>
  <cols>
    <col min="1" max="1" width="37.7109375" bestFit="1" customWidth="1"/>
    <col min="2" max="2" width="13.42578125" customWidth="1"/>
    <col min="3" max="13" width="19.7109375" customWidth="1"/>
  </cols>
  <sheetData>
    <row r="1" spans="1:13" ht="22.5" customHeight="1">
      <c r="A1" s="20" t="s">
        <v>139</v>
      </c>
      <c r="B1" s="21"/>
      <c r="C1" s="43" t="s">
        <v>140</v>
      </c>
    </row>
    <row r="2" spans="1:13" ht="22.5" customHeight="1">
      <c r="A2" s="22" t="s">
        <v>92</v>
      </c>
      <c r="B2" s="22" t="s">
        <v>141</v>
      </c>
      <c r="C2" s="32" t="s">
        <v>5</v>
      </c>
      <c r="D2" s="32" t="s">
        <v>159</v>
      </c>
      <c r="E2" s="32" t="s">
        <v>166</v>
      </c>
      <c r="F2" s="32"/>
      <c r="G2" s="32"/>
      <c r="H2" s="32"/>
      <c r="I2" s="32"/>
      <c r="J2" s="32"/>
      <c r="K2" s="32"/>
      <c r="L2" s="32"/>
      <c r="M2" s="32"/>
    </row>
    <row r="3" spans="1:13" ht="22.5" customHeight="1">
      <c r="A3" s="5" t="s">
        <v>142</v>
      </c>
      <c r="B3" s="14">
        <f>COUNTIFS('Sales Log'!$I$14:$I$212,"No")/B4</f>
        <v>0.66842105263157892</v>
      </c>
      <c r="C3" s="14" t="e">
        <f>COUNTIFS('Sales Log'!$I$14:$I$212,"No",'Sales Log'!$U$14:$U$212,'Scoreboard DM'!C2)/C4</f>
        <v>#DIV/0!</v>
      </c>
      <c r="D3" s="14">
        <f>COUNTIFS('Sales Log'!$I$14:$I$212,"No",'Sales Log'!$U$14:$U$212,'Scoreboard DM'!D2)/D4</f>
        <v>0.7168141592920354</v>
      </c>
      <c r="E3" s="14">
        <f>COUNTIFS('Sales Log'!$I$14:$I$212,"No",'Sales Log'!$U$14:$U$212,'Scoreboard DM'!E2)/E4</f>
        <v>0.59210526315789469</v>
      </c>
      <c r="F3" s="14" t="e">
        <f>COUNTIFS('Sales Log'!$I$14:$I$212,"No",'Sales Log'!$U$14:$U$212,'Scoreboard DM'!F2)/F4</f>
        <v>#DIV/0!</v>
      </c>
      <c r="G3" s="14" t="e">
        <f>COUNTIFS('Sales Log'!$I$14:$I$212,"No",'Sales Log'!$U$14:$U$212,'Scoreboard DM'!G2)/G4</f>
        <v>#DIV/0!</v>
      </c>
      <c r="H3" s="14" t="e">
        <f>COUNTIFS('Sales Log'!$I$14:$I$212,"No",'Sales Log'!$U$14:$U$212,'Scoreboard DM'!H2)/H4</f>
        <v>#DIV/0!</v>
      </c>
      <c r="I3" s="14" t="e">
        <f>COUNTIFS('Sales Log'!$I$14:$I$212,"No",'Sales Log'!$U$14:$U$212,'Scoreboard DM'!I2)/I4</f>
        <v>#DIV/0!</v>
      </c>
      <c r="J3" s="14" t="e">
        <f>COUNTIFS('Sales Log'!$I$14:$I$212,"No",'Sales Log'!$U$14:$U$212,'Scoreboard DM'!J2)/J4</f>
        <v>#DIV/0!</v>
      </c>
      <c r="K3" s="14" t="e">
        <f>COUNTIFS('Sales Log'!$I$14:$I$212,"No",'Sales Log'!$U$14:$U$212,'Scoreboard DM'!K2)/K4</f>
        <v>#DIV/0!</v>
      </c>
      <c r="L3" s="14" t="e">
        <f>COUNTIFS('Sales Log'!$I$14:$I$212,"No",'Sales Log'!$U$14:$U$212,'Scoreboard DM'!L2)/L4</f>
        <v>#DIV/0!</v>
      </c>
      <c r="M3" s="14" t="e">
        <f>COUNTIFS('Sales Log'!$I$14:$I$212,"No",'Sales Log'!$U$14:$U$212,'Scoreboard DM'!M2)/M4</f>
        <v>#DIV/0!</v>
      </c>
    </row>
    <row r="4" spans="1:13" ht="22.5" customHeight="1">
      <c r="A4" s="5" t="s">
        <v>125</v>
      </c>
      <c r="B4" s="6">
        <f>'Sales Log'!D213</f>
        <v>190</v>
      </c>
      <c r="C4" s="40">
        <f>COUNTIF('Sales Log'!$U$14:$U$212,C2)</f>
        <v>0</v>
      </c>
      <c r="D4" s="40">
        <f>COUNTIF('Sales Log'!$U$14:$U$212,D2)</f>
        <v>113</v>
      </c>
      <c r="E4" s="40">
        <f>COUNTIF('Sales Log'!$U$14:$U$212,E2)</f>
        <v>76</v>
      </c>
      <c r="F4" s="40">
        <f>COUNTIF('Sales Log'!$U$14:$U$212,F2)</f>
        <v>0</v>
      </c>
      <c r="G4" s="40">
        <f>COUNTIF('Sales Log'!$U$14:$U$212,G2)</f>
        <v>0</v>
      </c>
      <c r="H4" s="40">
        <f>COUNTIF('Sales Log'!$U$14:$U$212,H2)</f>
        <v>0</v>
      </c>
      <c r="I4" s="40">
        <f>COUNTIF('Sales Log'!$U$14:$U$212,I2)</f>
        <v>0</v>
      </c>
      <c r="J4" s="40">
        <f>COUNTIF('Sales Log'!$U$14:$U$212,J2)</f>
        <v>0</v>
      </c>
      <c r="K4" s="40">
        <f>COUNTIF('Sales Log'!$U$14:$U$212,K2)</f>
        <v>0</v>
      </c>
      <c r="L4" s="40">
        <f>COUNTIF('Sales Log'!$U$14:$U$212,L2)</f>
        <v>0</v>
      </c>
      <c r="M4" s="40">
        <f>COUNTIF('Sales Log'!$U$14:$U$212,M2)</f>
        <v>0</v>
      </c>
    </row>
    <row r="5" spans="1:13" s="4" customFormat="1" ht="21.75" customHeight="1">
      <c r="A5" s="5" t="s">
        <v>126</v>
      </c>
      <c r="B5" s="7">
        <f>'Sales Log'!$F$213</f>
        <v>26.7</v>
      </c>
      <c r="C5" s="24" t="e">
        <f ca="1">AVERAGEIF('Sales Log'!$U$14:$U$212,C2,'Sales Log'!$F$14:$F$208)</f>
        <v>#DIV/0!</v>
      </c>
      <c r="D5" s="24">
        <f ca="1">AVERAGEIF('Sales Log'!$U$14:$U$212,D2,'Sales Log'!$F$14:$F$208)</f>
        <v>24.159292035398231</v>
      </c>
      <c r="E5" s="24">
        <f ca="1">AVERAGEIF('Sales Log'!$U$14:$U$212,E2,'Sales Log'!$F$14:$F$208)</f>
        <v>30.55263157894737</v>
      </c>
      <c r="F5" s="24" t="e">
        <f ca="1">AVERAGEIF('Sales Log'!$U$14:$U$212,F2,'Sales Log'!$F$14:$F$208)</f>
        <v>#DIV/0!</v>
      </c>
      <c r="G5" s="24" t="e">
        <f ca="1">AVERAGEIF('Sales Log'!$U$14:$U$212,G2,'Sales Log'!$F$14:$F$208)</f>
        <v>#DIV/0!</v>
      </c>
      <c r="H5" s="24" t="e">
        <f ca="1">AVERAGEIF('Sales Log'!$U$14:$U$212,H2,'Sales Log'!$F$14:$F$208)</f>
        <v>#DIV/0!</v>
      </c>
      <c r="I5" s="24" t="e">
        <f ca="1">AVERAGEIF('Sales Log'!$U$14:$U$212,I2,'Sales Log'!$F$14:$F$208)</f>
        <v>#DIV/0!</v>
      </c>
      <c r="J5" s="24" t="e">
        <f ca="1">AVERAGEIF('Sales Log'!$U$14:$U$212,J2,'Sales Log'!$F$14:$F$208)</f>
        <v>#DIV/0!</v>
      </c>
      <c r="K5" s="24" t="e">
        <f ca="1">AVERAGEIF('Sales Log'!$U$14:$U$212,K2,'Sales Log'!$F$14:$F$208)</f>
        <v>#DIV/0!</v>
      </c>
      <c r="L5" s="24" t="e">
        <f ca="1">AVERAGEIF('Sales Log'!$U$14:$U$212,L2,'Sales Log'!$F$14:$F$208)</f>
        <v>#DIV/0!</v>
      </c>
      <c r="M5" s="24" t="e">
        <f ca="1">AVERAGEIF('Sales Log'!$U$14:$U$212,M2,'Sales Log'!$F$14:$F$208)</f>
        <v>#DIV/0!</v>
      </c>
    </row>
    <row r="6" spans="1:13" ht="21.75" customHeight="1">
      <c r="A6" s="5" t="s">
        <v>127</v>
      </c>
      <c r="B6" s="8">
        <f>'Sales Log'!$J$213</f>
        <v>27943.859526315784</v>
      </c>
      <c r="C6" s="8" t="e">
        <f>AVERAGEIF('Sales Log'!$U$14:$U$212,C2,'Sales Log'!$J$14:$J$212)</f>
        <v>#DIV/0!</v>
      </c>
      <c r="D6" s="8">
        <f>AVERAGEIF('Sales Log'!$U$14:$U$212,D2,'Sales Log'!$J$14:$J$212)</f>
        <v>27965.462212389386</v>
      </c>
      <c r="E6" s="8">
        <f>AVERAGEIF('Sales Log'!$U$14:$U$212,E2,'Sales Log'!$J$14:$J$212)</f>
        <v>27871.593157894738</v>
      </c>
      <c r="F6" s="8" t="e">
        <f>AVERAGEIF('Sales Log'!$U$14:$U$212,F2,'Sales Log'!$J$14:$J$212)</f>
        <v>#DIV/0!</v>
      </c>
      <c r="G6" s="8" t="e">
        <f>AVERAGEIF('Sales Log'!$U$14:$U$212,G2,'Sales Log'!$J$14:$J$212)</f>
        <v>#DIV/0!</v>
      </c>
      <c r="H6" s="8" t="e">
        <f>AVERAGEIF('Sales Log'!$U$14:$U$212,H2,'Sales Log'!$J$14:$J$212)</f>
        <v>#DIV/0!</v>
      </c>
      <c r="I6" s="8" t="e">
        <f>AVERAGEIF('Sales Log'!$U$14:$U$212,I2,'Sales Log'!$J$14:$J$212)</f>
        <v>#DIV/0!</v>
      </c>
      <c r="J6" s="8" t="e">
        <f>AVERAGEIF('Sales Log'!$U$14:$U$212,J2,'Sales Log'!$J$14:$J$212)</f>
        <v>#DIV/0!</v>
      </c>
      <c r="K6" s="8" t="e">
        <f>AVERAGEIF('Sales Log'!$U$14:$U$212,K2,'Sales Log'!$J$14:$J$212)</f>
        <v>#DIV/0!</v>
      </c>
      <c r="L6" s="8" t="e">
        <f>AVERAGEIF('Sales Log'!$U$14:$U$212,L2,'Sales Log'!$J$14:$J$212)</f>
        <v>#DIV/0!</v>
      </c>
      <c r="M6" s="8" t="e">
        <f>AVERAGEIF('Sales Log'!$U$14:$U$212,M2,'Sales Log'!$J$14:$J$212)</f>
        <v>#DIV/0!</v>
      </c>
    </row>
    <row r="7" spans="1:13" ht="22.5" customHeight="1">
      <c r="A7" s="5" t="s">
        <v>128</v>
      </c>
      <c r="B7" s="8">
        <f>'Sales Log'!$K$213</f>
        <v>27871.358526315784</v>
      </c>
      <c r="C7" s="8" t="e">
        <f>AVERAGEIF('Sales Log'!$U$14:$U$212,C2,'Sales Log'!$K$14:$K$212)</f>
        <v>#DIV/0!</v>
      </c>
      <c r="D7" s="8">
        <f>AVERAGEIF('Sales Log'!$U$14:$U$212,D2,'Sales Log'!$K$14:$K$212)</f>
        <v>27924.503982300888</v>
      </c>
      <c r="E7" s="8">
        <f>AVERAGEIF('Sales Log'!$U$14:$U$212,E2,'Sales Log'!$K$14:$K$212)</f>
        <v>27738.081184210525</v>
      </c>
      <c r="F7" s="8" t="e">
        <f>AVERAGEIF('Sales Log'!$U$14:$U$212,F2,'Sales Log'!$K$14:$K$212)</f>
        <v>#DIV/0!</v>
      </c>
      <c r="G7" s="8" t="e">
        <f>AVERAGEIF('Sales Log'!$U$14:$U$212,G2,'Sales Log'!$K$14:$K$212)</f>
        <v>#DIV/0!</v>
      </c>
      <c r="H7" s="8" t="e">
        <f>AVERAGEIF('Sales Log'!$U$14:$U$212,H2,'Sales Log'!$K$14:$K$212)</f>
        <v>#DIV/0!</v>
      </c>
      <c r="I7" s="8" t="e">
        <f>AVERAGEIF('Sales Log'!$U$14:$U$212,I2,'Sales Log'!$K$14:$K$212)</f>
        <v>#DIV/0!</v>
      </c>
      <c r="J7" s="8" t="e">
        <f>AVERAGEIF('Sales Log'!$U$14:$U$212,J2,'Sales Log'!$K$14:$K$212)</f>
        <v>#DIV/0!</v>
      </c>
      <c r="K7" s="8" t="e">
        <f>AVERAGEIF('Sales Log'!$U$14:$U$212,K2,'Sales Log'!$K$14:$K$212)</f>
        <v>#DIV/0!</v>
      </c>
      <c r="L7" s="8" t="e">
        <f>AVERAGEIF('Sales Log'!$U$14:$U$212,L2,'Sales Log'!$K$14:$K$212)</f>
        <v>#DIV/0!</v>
      </c>
      <c r="M7" s="8" t="e">
        <f>AVERAGEIF('Sales Log'!$U$14:$U$212,M2,'Sales Log'!$K$14:$K$212)</f>
        <v>#DIV/0!</v>
      </c>
    </row>
    <row r="8" spans="1:13" ht="22.5" customHeight="1">
      <c r="A8" s="5" t="s">
        <v>129</v>
      </c>
      <c r="B8" s="8">
        <f>'Sales Log'!$M$213</f>
        <v>27971.831357673447</v>
      </c>
      <c r="C8" s="8" t="e">
        <f>AVERAGEIF('Sales Log'!$U$14:$U$212,C2,'Sales Log'!$M$14:$M$212)</f>
        <v>#DIV/0!</v>
      </c>
      <c r="D8" s="8">
        <f>AVERAGEIF('Sales Log'!$U$14:$U$212,D2,'Sales Log'!$M$14:$M$212)</f>
        <v>28098.821161238327</v>
      </c>
      <c r="E8" s="8">
        <f>AVERAGEIF('Sales Log'!$U$14:$U$212,E2,'Sales Log'!$M$14:$M$212)</f>
        <v>27909.219280257777</v>
      </c>
      <c r="F8" s="8" t="e">
        <f>AVERAGEIF('Sales Log'!$U$14:$U$212,F2,'Sales Log'!$M$14:$M$212)</f>
        <v>#DIV/0!</v>
      </c>
      <c r="G8" s="8" t="e">
        <f>AVERAGEIF('Sales Log'!$U$14:$U$212,G2,'Sales Log'!$M$14:$M$212)</f>
        <v>#DIV/0!</v>
      </c>
      <c r="H8" s="8" t="e">
        <f>AVERAGEIF('Sales Log'!$U$14:$U$212,H2,'Sales Log'!$M$14:$M$212)</f>
        <v>#DIV/0!</v>
      </c>
      <c r="I8" s="8" t="e">
        <f>AVERAGEIF('Sales Log'!$U$14:$U$212,I2,'Sales Log'!$M$14:$M$212)</f>
        <v>#DIV/0!</v>
      </c>
      <c r="J8" s="8" t="e">
        <f>AVERAGEIF('Sales Log'!$U$14:$U$212,J2,'Sales Log'!$M$14:$M$212)</f>
        <v>#DIV/0!</v>
      </c>
      <c r="K8" s="8" t="e">
        <f>AVERAGEIF('Sales Log'!$U$14:$U$212,K2,'Sales Log'!$M$14:$M$212)</f>
        <v>#DIV/0!</v>
      </c>
      <c r="L8" s="8" t="e">
        <f>AVERAGEIF('Sales Log'!$U$14:$U$212,L2,'Sales Log'!$M$14:$M$212)</f>
        <v>#DIV/0!</v>
      </c>
      <c r="M8" s="8" t="e">
        <f>AVERAGEIF('Sales Log'!$U$14:$U$212,M2,'Sales Log'!$M$14:$M$212)</f>
        <v>#DIV/0!</v>
      </c>
    </row>
    <row r="9" spans="1:13" ht="22.5" customHeight="1">
      <c r="A9" s="5" t="s">
        <v>130</v>
      </c>
      <c r="B9" s="9">
        <f>'Sales Log'!L213</f>
        <v>0.99900000000000033</v>
      </c>
      <c r="C9" s="14" t="e">
        <f>C6/C8</f>
        <v>#DIV/0!</v>
      </c>
      <c r="D9" s="14">
        <f t="shared" ref="D9:M9" si="0">D6/D8</f>
        <v>0.99525393082920832</v>
      </c>
      <c r="E9" s="14">
        <f t="shared" si="0"/>
        <v>0.99865183895023335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131</v>
      </c>
      <c r="B10" s="9">
        <f>'Sales Log'!$N$213</f>
        <v>0.99640807103142714</v>
      </c>
      <c r="C10" s="14" t="e">
        <f>C7/C8</f>
        <v>#DIV/0!</v>
      </c>
      <c r="D10" s="14">
        <f t="shared" ref="D10:M10" si="1">D7/D8</f>
        <v>0.99379628141916843</v>
      </c>
      <c r="E10" s="14">
        <f t="shared" si="1"/>
        <v>0.99386804430719744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132</v>
      </c>
      <c r="B11" s="8">
        <f>'Sales Log'!$O$213</f>
        <v>72.501000000000005</v>
      </c>
      <c r="C11" s="8" t="e">
        <f>AVERAGEIF('Sales Log'!$U$14:$U$212,C2,'Sales Log'!$O$14:$O$212)</f>
        <v>#DIV/0!</v>
      </c>
      <c r="D11" s="8">
        <f>AVERAGEIF('Sales Log'!$U$14:$U$212,D2,'Sales Log'!$O$14:$O$212)</f>
        <v>40.958230088495561</v>
      </c>
      <c r="E11" s="8">
        <f>AVERAGEIF('Sales Log'!$U$14:$U$212,E2,'Sales Log'!$O$14:$O$212)</f>
        <v>133.51197368421055</v>
      </c>
      <c r="F11" s="8" t="e">
        <f>AVERAGEIF('Sales Log'!$U$14:$U$212,F2,'Sales Log'!$O$14:$O$212)</f>
        <v>#DIV/0!</v>
      </c>
      <c r="G11" s="8" t="e">
        <f>AVERAGEIF('Sales Log'!$U$14:$U$212,G2,'Sales Log'!$O$14:$O$212)</f>
        <v>#DIV/0!</v>
      </c>
      <c r="H11" s="8" t="e">
        <f>AVERAGEIF('Sales Log'!$U$14:$U$212,H2,'Sales Log'!$O$14:$O$212)</f>
        <v>#DIV/0!</v>
      </c>
      <c r="I11" s="8" t="e">
        <f>AVERAGEIF('Sales Log'!$U$14:$U$212,I2,'Sales Log'!$O$14:$O$212)</f>
        <v>#DIV/0!</v>
      </c>
      <c r="J11" s="8" t="e">
        <f>AVERAGEIF('Sales Log'!$U$14:$U$212,J2,'Sales Log'!$O$14:$O$212)</f>
        <v>#DIV/0!</v>
      </c>
      <c r="K11" s="8" t="e">
        <f>AVERAGEIF('Sales Log'!$U$14:$U$212,K2,'Sales Log'!$O$14:$O$212)</f>
        <v>#DIV/0!</v>
      </c>
      <c r="L11" s="8" t="e">
        <f>AVERAGEIF('Sales Log'!$U$14:$U$212,L2,'Sales Log'!$O$14:$O$212)</f>
        <v>#DIV/0!</v>
      </c>
      <c r="M11" s="8" t="e">
        <f>AVERAGEIF('Sales Log'!$U$14:$U$212,M2,'Sales Log'!$O$14:$O$212)</f>
        <v>#DIV/0!</v>
      </c>
    </row>
    <row r="12" spans="1:13" ht="22.5" customHeight="1">
      <c r="A12" s="5" t="s">
        <v>133</v>
      </c>
      <c r="B12" s="8">
        <f>'Sales Log'!$P$213</f>
        <v>3386.0526842105269</v>
      </c>
      <c r="C12" s="8" t="e">
        <f>AVERAGEIF('Sales Log'!$U$14:$U$212,C2,'Sales Log'!$P$14:$P$212)</f>
        <v>#DIV/0!</v>
      </c>
      <c r="D12" s="8">
        <f>AVERAGEIF('Sales Log'!$U$14:$U$212,D2,'Sales Log'!$P$14:$P$212)</f>
        <v>3636.1976106194693</v>
      </c>
      <c r="E12" s="8">
        <f>AVERAGEIF('Sales Log'!$U$14:$U$212,E2,'Sales Log'!$P$14:$P$212)</f>
        <v>2991.1523684210533</v>
      </c>
      <c r="F12" s="8" t="e">
        <f>AVERAGEIF('Sales Log'!$U$14:$U$212,F2,'Sales Log'!$P$14:$P$212)</f>
        <v>#DIV/0!</v>
      </c>
      <c r="G12" s="8" t="e">
        <f>AVERAGEIF('Sales Log'!$U$14:$U$212,G2,'Sales Log'!$P$14:$P$212)</f>
        <v>#DIV/0!</v>
      </c>
      <c r="H12" s="8" t="e">
        <f>AVERAGEIF('Sales Log'!$U$14:$U$212,H2,'Sales Log'!$P$14:$P$212)</f>
        <v>#DIV/0!</v>
      </c>
      <c r="I12" s="8" t="e">
        <f>AVERAGEIF('Sales Log'!$U$14:$U$212,I2,'Sales Log'!$P$14:$P$212)</f>
        <v>#DIV/0!</v>
      </c>
      <c r="J12" s="8" t="e">
        <f>AVERAGEIF('Sales Log'!$U$14:$U$212,J2,'Sales Log'!$P$14:$P$212)</f>
        <v>#DIV/0!</v>
      </c>
      <c r="K12" s="8" t="e">
        <f>AVERAGEIF('Sales Log'!$U$14:$U$212,K2,'Sales Log'!$P$14:$P$212)</f>
        <v>#DIV/0!</v>
      </c>
      <c r="L12" s="8" t="e">
        <f>AVERAGEIF('Sales Log'!$U$14:$U$212,L2,'Sales Log'!$P$14:$P$212)</f>
        <v>#DIV/0!</v>
      </c>
      <c r="M12" s="8" t="e">
        <f>AVERAGEIF('Sales Log'!$U$14:$U$212,M2,'Sales Log'!$P$14:$P$212)</f>
        <v>#DIV/0!</v>
      </c>
    </row>
    <row r="13" spans="1:13" ht="22.5" customHeight="1">
      <c r="A13" s="5" t="s">
        <v>134</v>
      </c>
      <c r="B13" s="8">
        <f>'Sales Log'!$Q$213</f>
        <v>2496.6004574468079</v>
      </c>
      <c r="C13" s="8" t="e">
        <f>AVERAGEIF('Sales Log'!$U$14:$U$212,C2,'Sales Log'!$Q$14:$Q$212)</f>
        <v>#DIV/0!</v>
      </c>
      <c r="D13" s="8">
        <f>AVERAGEIF('Sales Log'!$U$14:$U$212,D2,'Sales Log'!$Q$14:$Q$212)</f>
        <v>2438.5998378378372</v>
      </c>
      <c r="E13" s="8">
        <f>AVERAGEIF('Sales Log'!$U$14:$U$212,E2,'Sales Log'!$Q$14:$Q$212)</f>
        <v>2498.2940000000012</v>
      </c>
      <c r="F13" s="8" t="e">
        <f>AVERAGEIF('Sales Log'!$U$14:$U$212,F2,'Sales Log'!$Q$14:$Q$212)</f>
        <v>#DIV/0!</v>
      </c>
      <c r="G13" s="8" t="e">
        <f>AVERAGEIF('Sales Log'!$U$14:$U$212,G2,'Sales Log'!$Q$14:$Q$212)</f>
        <v>#DIV/0!</v>
      </c>
      <c r="H13" s="8" t="e">
        <f>AVERAGEIF('Sales Log'!$U$14:$U$212,H2,'Sales Log'!$Q$14:$Q$212)</f>
        <v>#DIV/0!</v>
      </c>
      <c r="I13" s="8" t="e">
        <f>AVERAGEIF('Sales Log'!$U$14:$U$212,I2,'Sales Log'!$Q$14:$Q$212)</f>
        <v>#DIV/0!</v>
      </c>
      <c r="J13" s="8" t="e">
        <f>AVERAGEIF('Sales Log'!$U$14:$U$212,J2,'Sales Log'!$Q$14:$Q$212)</f>
        <v>#DIV/0!</v>
      </c>
      <c r="K13" s="8" t="e">
        <f>AVERAGEIF('Sales Log'!$U$14:$U$212,K2,'Sales Log'!$Q$14:$Q$212)</f>
        <v>#DIV/0!</v>
      </c>
      <c r="L13" s="8" t="e">
        <f>AVERAGEIF('Sales Log'!$U$14:$U$212,L2,'Sales Log'!$Q$14:$Q$212)</f>
        <v>#DIV/0!</v>
      </c>
      <c r="M13" s="8" t="e">
        <f>AVERAGEIF('Sales Log'!$U$14:$U$212,M2,'Sales Log'!$Q$14:$Q$212)</f>
        <v>#DIV/0!</v>
      </c>
    </row>
    <row r="14" spans="1:13" ht="22.5" customHeight="1">
      <c r="A14" s="5" t="s">
        <v>135</v>
      </c>
      <c r="B14" s="8">
        <f>'Sales Log'!$R$213</f>
        <v>5856.3731368421086</v>
      </c>
      <c r="C14" s="8" t="e">
        <f>AVERAGEIF('Sales Log'!$U$14:$U$212,C2,'Sales Log'!$R$14:$R$212)</f>
        <v>#DIV/0!</v>
      </c>
      <c r="D14" s="8">
        <f>AVERAGEIF('Sales Log'!$U$14:$U$212,D2,'Sales Log'!$R$14:$R$212)</f>
        <v>6031.6363893805301</v>
      </c>
      <c r="E14" s="8">
        <f>AVERAGEIF('Sales Log'!$U$14:$U$212,E2,'Sales Log'!$R$14:$R$212)</f>
        <v>5489.4463684210514</v>
      </c>
      <c r="F14" s="8" t="e">
        <f>AVERAGEIF('Sales Log'!$U$14:$U$212,F2,'Sales Log'!$R$14:$R$212)</f>
        <v>#DIV/0!</v>
      </c>
      <c r="G14" s="8" t="e">
        <f>AVERAGEIF('Sales Log'!$U$14:$U$212,G2,'Sales Log'!$R$14:$R$212)</f>
        <v>#DIV/0!</v>
      </c>
      <c r="H14" s="8" t="e">
        <f>AVERAGEIF('Sales Log'!$U$14:$U$212,H2,'Sales Log'!$R$14:$R$212)</f>
        <v>#DIV/0!</v>
      </c>
      <c r="I14" s="8" t="e">
        <f>AVERAGEIF('Sales Log'!$U$14:$U$212,I2,'Sales Log'!$R$14:$R$212)</f>
        <v>#DIV/0!</v>
      </c>
      <c r="J14" s="8" t="e">
        <f>AVERAGEIF('Sales Log'!$U$14:$U$212,J2,'Sales Log'!$R$14:$R$212)</f>
        <v>#DIV/0!</v>
      </c>
      <c r="K14" s="8" t="e">
        <f>AVERAGEIF('Sales Log'!$U$14:$U$212,K2,'Sales Log'!$R$14:$R$212)</f>
        <v>#DIV/0!</v>
      </c>
      <c r="L14" s="8" t="e">
        <f>AVERAGEIF('Sales Log'!$U$14:$U$212,L2,'Sales Log'!$R$14:$R$212)</f>
        <v>#DIV/0!</v>
      </c>
      <c r="M14" s="8" t="e">
        <f>AVERAGEIF('Sales Log'!$U$14:$U$212,M2,'Sales Log'!$R$14:$R$212)</f>
        <v>#DIV/0!</v>
      </c>
    </row>
    <row r="15" spans="1:13" ht="21.6" customHeight="1">
      <c r="A15" s="5" t="s">
        <v>136</v>
      </c>
      <c r="B15" s="10">
        <f>B14*B4</f>
        <v>1112710.8960000006</v>
      </c>
      <c r="C15" s="10" t="e">
        <f>C14*C4</f>
        <v>#DIV/0!</v>
      </c>
      <c r="D15" s="10">
        <f t="shared" ref="D15:F15" si="2">D14*D4</f>
        <v>681574.91199999989</v>
      </c>
      <c r="E15" s="10">
        <f t="shared" si="2"/>
        <v>417197.92399999988</v>
      </c>
      <c r="F15" s="10" t="e">
        <f t="shared" si="2"/>
        <v>#DIV/0!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90</v>
      </c>
      <c r="B16" s="9">
        <f>(B14/(B7)*(360/B5))</f>
        <v>2.8330995905627123</v>
      </c>
      <c r="C16" s="9" t="e">
        <f t="shared" ref="C16:M16" ca="1" si="5">(C14/(C7)*(360/C5))</f>
        <v>#DIV/0!</v>
      </c>
      <c r="D16" s="9">
        <f t="shared" ca="1" si="5"/>
        <v>3.2186072286402241</v>
      </c>
      <c r="E16" s="9">
        <f t="shared" ca="1" si="5"/>
        <v>2.3318789880458519</v>
      </c>
      <c r="F16" s="9" t="e">
        <f t="shared" ca="1" si="5"/>
        <v>#DIV/0!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137</v>
      </c>
      <c r="B17" s="9">
        <f>'Sales Log'!AA213/'Scoreboard Total'!B3</f>
        <v>0.58421052631578951</v>
      </c>
      <c r="C17" s="9" t="e">
        <f>COUNTIFS('Sales Log'!$U$14:$U$212,'Scoreboard DM'!C$2,'Sales Log'!$AA$14:$AA$212,"Yes")/C$4</f>
        <v>#DIV/0!</v>
      </c>
      <c r="D17" s="9">
        <f>COUNTIFS('Sales Log'!$U$14:$U$212,'Scoreboard DM'!D$2,'Sales Log'!$AA$14:$AA$212,"Yes")/D$4</f>
        <v>0.64601769911504425</v>
      </c>
      <c r="E17" s="9">
        <f>COUNTIFS('Sales Log'!$U$14:$U$212,'Scoreboard DM'!E$2,'Sales Log'!$AA$14:$AA$212,"Yes")/E$4</f>
        <v>0.48684210526315791</v>
      </c>
      <c r="F17" s="9" t="e">
        <f>COUNTIFS('Sales Log'!$U$14:$U$212,'Scoreboard DM'!F$2,'Sales Log'!$AA$14:$AA$212,"Yes")/F$4</f>
        <v>#DIV/0!</v>
      </c>
      <c r="G17" s="9" t="e">
        <f>COUNTIFS('Sales Log'!$U$14:$U$212,'Scoreboard DM'!G$2,'Sales Log'!$AA$14:$AA$212,"Yes")/G$4</f>
        <v>#DIV/0!</v>
      </c>
      <c r="H17" s="9" t="e">
        <f>COUNTIFS('Sales Log'!$U$14:$U$212,'Scoreboard DM'!H$2,'Sales Log'!$AA$14:$AA$212,"Yes")/H$4</f>
        <v>#DIV/0!</v>
      </c>
      <c r="I17" s="9" t="e">
        <f>COUNTIFS('Sales Log'!$U$14:$U$212,'Scoreboard DM'!I$2,'Sales Log'!$AA$14:$AA$212,"Yes")/I$4</f>
        <v>#DIV/0!</v>
      </c>
      <c r="J17" s="9" t="e">
        <f>COUNTIFS('Sales Log'!$U$14:$U$212,'Scoreboard DM'!J$2,'Sales Log'!$AA$14:$AA$212,"Yes")/J$4</f>
        <v>#DIV/0!</v>
      </c>
      <c r="K17" s="9" t="e">
        <f>COUNTIFS('Sales Log'!$U$14:$U$212,'Scoreboard DM'!K$2,'Sales Log'!$AA$14:$AA$212,"Yes")/K$4</f>
        <v>#DIV/0!</v>
      </c>
      <c r="L17" s="9" t="e">
        <f>COUNTIFS('Sales Log'!$U$14:$U$212,'Scoreboard DM'!L$2,'Sales Log'!$AA$14:$AA$212,"Yes")/L$4</f>
        <v>#DIV/0!</v>
      </c>
      <c r="M17" s="9" t="e">
        <f>COUNTIFS('Sales Log'!$U$14:$U$212,'Scoreboard DM'!M$2,'Sales Log'!$AA$14:$AA$212,"Yes")/M$4</f>
        <v>#DIV/0!</v>
      </c>
    </row>
    <row r="18" spans="1:13" ht="21.75" customHeight="1">
      <c r="A18" s="5" t="s">
        <v>138</v>
      </c>
      <c r="B18" s="114">
        <f>'Sales Log'!$AB$213</f>
        <v>675.559732142857</v>
      </c>
      <c r="C18" s="114" t="e">
        <f>AVERAGEIF('Sales Log'!$U$14:$U$212,C2,'Sales Log'!$AB$14:$AB$212)</f>
        <v>#DIV/0!</v>
      </c>
      <c r="D18" s="114">
        <f>AVERAGEIF('Sales Log'!$U$14:$U$212,D2,'Sales Log'!$AB$14:$AB$212)</f>
        <v>733.6791780821917</v>
      </c>
      <c r="E18" s="114">
        <f>AVERAGEIF('Sales Log'!$U$14:$U$212,E2,'Sales Log'!$AB$14:$AB$212)</f>
        <v>617.37131578947367</v>
      </c>
      <c r="F18" s="114" t="e">
        <f>AVERAGEIF('Sales Log'!$U$14:$U$212,F2,'Sales Log'!$AB$14:$AB$212)</f>
        <v>#DIV/0!</v>
      </c>
      <c r="G18" s="114" t="e">
        <f>AVERAGEIF('Sales Log'!$U$14:$U$212,G2,'Sales Log'!$AB$14:$AB$212)</f>
        <v>#DIV/0!</v>
      </c>
      <c r="H18" s="114" t="e">
        <f>AVERAGEIF('Sales Log'!$U$14:$U$212,H2,'Sales Log'!$AB$14:$AB$212)</f>
        <v>#DIV/0!</v>
      </c>
      <c r="I18" s="114" t="e">
        <f>AVERAGEIF('Sales Log'!$U$14:$U$212,I2,'Sales Log'!$AB$14:$AB$212)</f>
        <v>#DIV/0!</v>
      </c>
      <c r="J18" s="114" t="e">
        <f>AVERAGEIF('Sales Log'!$U$14:$U$212,J2,'Sales Log'!$AB$14:$AB$212)</f>
        <v>#DIV/0!</v>
      </c>
      <c r="K18" s="114" t="e">
        <f>AVERAGEIF('Sales Log'!$U$14:$U$212,K2,'Sales Log'!$AB$14:$AB$212)</f>
        <v>#DIV/0!</v>
      </c>
      <c r="L18" s="114" t="e">
        <f>AVERAGEIF('Sales Log'!$U$14:$U$212,L2,'Sales Log'!$AB$14:$AB$212)</f>
        <v>#DIV/0!</v>
      </c>
      <c r="M18" s="114" t="e">
        <f>AVERAGEIF('Sales Log'!$U$14:$U$212,M2,'Sales Log'!$AB$14:$AB$212)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B1" activePane="topRight" state="frozen"/>
      <selection pane="topRight" activeCell="E10" sqref="E10"/>
    </sheetView>
  </sheetViews>
  <sheetFormatPr defaultRowHeight="15"/>
  <cols>
    <col min="1" max="1" width="37.5703125" customWidth="1"/>
    <col min="2" max="2" width="13.42578125" customWidth="1"/>
    <col min="3" max="12" width="19.7109375" customWidth="1"/>
    <col min="13" max="63" width="18.42578125" customWidth="1"/>
  </cols>
  <sheetData>
    <row r="1" spans="1:63" ht="22.5" customHeight="1" thickBot="1">
      <c r="A1" s="20" t="s">
        <v>139</v>
      </c>
      <c r="B1" s="21"/>
      <c r="C1" s="43" t="s">
        <v>140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143</v>
      </c>
      <c r="B2" s="22" t="s">
        <v>141</v>
      </c>
      <c r="C2" s="31" t="s">
        <v>161</v>
      </c>
      <c r="D2" s="31" t="s">
        <v>162</v>
      </c>
      <c r="E2" s="31" t="s">
        <v>163</v>
      </c>
      <c r="F2" s="31" t="s">
        <v>164</v>
      </c>
      <c r="G2" s="31" t="s">
        <v>165</v>
      </c>
      <c r="H2" s="31" t="s">
        <v>170</v>
      </c>
      <c r="I2" s="31" t="s">
        <v>175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142</v>
      </c>
      <c r="B3" s="14">
        <f>COUNTIFS('Sales Log'!$I$14:$I$212,"No")/B4</f>
        <v>0.66842105263157892</v>
      </c>
      <c r="C3" s="14">
        <f>COUNTIFS('Sales Log'!$I$14:$I$212,"No",'Sales Log'!$T$14:$T$212,C2)/C4</f>
        <v>0.60526315789473684</v>
      </c>
      <c r="D3" s="14">
        <f>COUNTIFS('Sales Log'!$I$14:$I$212,"No",'Sales Log'!$T$14:$T$212,D2)/D4</f>
        <v>0.67647058823529416</v>
      </c>
      <c r="E3" s="14">
        <f>COUNTIFS('Sales Log'!$I$14:$I$212,"No",'Sales Log'!$T$14:$T$212,E2)/E4</f>
        <v>0.73913043478260865</v>
      </c>
      <c r="F3" s="14">
        <f>COUNTIFS('Sales Log'!$I$14:$I$212,"No",'Sales Log'!$T$14:$T$212,F2)/F4</f>
        <v>0.66666666666666663</v>
      </c>
      <c r="G3" s="14">
        <f>COUNTIFS('Sales Log'!$I$14:$I$212,"No",'Sales Log'!$T$14:$T$212,G2)/G4</f>
        <v>0.68421052631578949</v>
      </c>
      <c r="H3" s="14">
        <f>COUNTIFS('Sales Log'!$I$14:$I$212,"No",'Sales Log'!$T$14:$T$212,H2)/H4</f>
        <v>0.83333333333333337</v>
      </c>
      <c r="I3" s="14">
        <f>COUNTIFS('Sales Log'!$I$14:$I$212,"No",'Sales Log'!$T$14:$T$212,I2)/I4</f>
        <v>0.38461538461538464</v>
      </c>
      <c r="J3" s="14" t="e">
        <f>COUNTIFS('Sales Log'!$I$14:$I$212,"No",'Sales Log'!$T$14:$T$212,J2)/J4</f>
        <v>#DIV/0!</v>
      </c>
      <c r="K3" s="14" t="e">
        <f>COUNTIFS('Sales Log'!$I$14:$I$212,"No",'Sales Log'!$T$14:$T$212,K2)/K4</f>
        <v>#DIV/0!</v>
      </c>
      <c r="L3" s="14" t="e">
        <f>COUNTIFS('Sales Log'!$I$14:$I$212,"No",'Sales Log'!$T$14:$T$212,L2)/L4</f>
        <v>#DIV/0!</v>
      </c>
      <c r="M3" s="14" t="e">
        <f>COUNTIFS('Sales Log'!$I$14:$I$212,"No",'Sales Log'!$T$14:$T$212,M2)/M4</f>
        <v>#DIV/0!</v>
      </c>
      <c r="N3" s="14" t="e">
        <f>COUNTIFS('Sales Log'!$I$14:$I$212,"No",'Sales Log'!$T$14:$T$212,N2)/N4</f>
        <v>#DIV/0!</v>
      </c>
      <c r="O3" s="14" t="e">
        <f>COUNTIFS('Sales Log'!$I$14:$I$212,"No",'Sales Log'!$T$14:$T$212,O2)/O4</f>
        <v>#DIV/0!</v>
      </c>
      <c r="P3" s="14" t="e">
        <f>COUNTIFS('Sales Log'!$I$14:$I$212,"No",'Sales Log'!$T$14:$T$212,P2)/P4</f>
        <v>#DIV/0!</v>
      </c>
      <c r="Q3" s="14" t="e">
        <f>COUNTIFS('Sales Log'!$I$14:$I$212,"No",'Sales Log'!$T$14:$T$212,Q2)/Q4</f>
        <v>#DIV/0!</v>
      </c>
      <c r="R3" s="14" t="e">
        <f>COUNTIFS('Sales Log'!$I$14:$I$212,"No",'Sales Log'!$T$14:$T$212,R2)/R4</f>
        <v>#DIV/0!</v>
      </c>
      <c r="S3" s="14" t="e">
        <f>COUNTIFS('Sales Log'!$I$14:$I$212,"No",'Sales Log'!$T$14:$T$212,S2)/S4</f>
        <v>#DIV/0!</v>
      </c>
      <c r="T3" s="14" t="e">
        <f>COUNTIFS('Sales Log'!$I$14:$I$212,"No",'Sales Log'!$T$14:$T$212,T2)/T4</f>
        <v>#DIV/0!</v>
      </c>
      <c r="U3" s="14" t="e">
        <f>COUNTIFS('Sales Log'!$I$14:$I$212,"No",'Sales Log'!$T$14:$T$212,U2)/U4</f>
        <v>#DIV/0!</v>
      </c>
      <c r="V3" s="14" t="e">
        <f>COUNTIFS('Sales Log'!$I$14:$I$212,"No",'Sales Log'!$T$14:$T$212,V2)/V4</f>
        <v>#DIV/0!</v>
      </c>
      <c r="W3" s="14" t="e">
        <f>COUNTIFS('Sales Log'!$I$14:$I$212,"No",'Sales Log'!$T$14:$T$212,W2)/W4</f>
        <v>#DIV/0!</v>
      </c>
      <c r="X3" s="14" t="e">
        <f>COUNTIFS('Sales Log'!$I$14:$I$212,"No",'Sales Log'!$T$14:$T$212,X2)/X4</f>
        <v>#DIV/0!</v>
      </c>
      <c r="Y3" s="14" t="e">
        <f>COUNTIFS('Sales Log'!$I$14:$I$212,"No",'Sales Log'!$T$14:$T$212,Y2)/Y4</f>
        <v>#DIV/0!</v>
      </c>
      <c r="Z3" s="14" t="e">
        <f>COUNTIFS('Sales Log'!$I$14:$I$212,"No",'Sales Log'!$T$14:$T$212,Z2)/Z4</f>
        <v>#DIV/0!</v>
      </c>
      <c r="AA3" s="14" t="e">
        <f>COUNTIFS('Sales Log'!$I$14:$I$212,"No",'Sales Log'!$T$14:$T$212,AA2)/AA4</f>
        <v>#DIV/0!</v>
      </c>
      <c r="AB3" s="14" t="e">
        <f>COUNTIFS('Sales Log'!$I$14:$I$212,"No",'Sales Log'!$T$14:$T$212,AB2)/AB4</f>
        <v>#DIV/0!</v>
      </c>
      <c r="AC3" s="14" t="e">
        <f>COUNTIFS('Sales Log'!$I$14:$I$212,"No",'Sales Log'!$T$14:$T$212,AC2)/AC4</f>
        <v>#DIV/0!</v>
      </c>
      <c r="AD3" s="14" t="e">
        <f>COUNTIFS('Sales Log'!$I$14:$I$212,"No",'Sales Log'!$T$14:$T$212,AD2)/AD4</f>
        <v>#DIV/0!</v>
      </c>
      <c r="AE3" s="14" t="e">
        <f>COUNTIFS('Sales Log'!$I$14:$I$212,"No",'Sales Log'!$T$14:$T$212,AE2)/AE4</f>
        <v>#DIV/0!</v>
      </c>
      <c r="AF3" s="14" t="e">
        <f>COUNTIFS('Sales Log'!$I$14:$I$212,"No",'Sales Log'!$T$14:$T$212,AF2)/AF4</f>
        <v>#DIV/0!</v>
      </c>
      <c r="AG3" s="14" t="e">
        <f>COUNTIFS('Sales Log'!$I$14:$I$212,"No",'Sales Log'!$T$14:$T$212,AG2)/AG4</f>
        <v>#DIV/0!</v>
      </c>
      <c r="AH3" s="14" t="e">
        <f>COUNTIFS('Sales Log'!$I$14:$I$212,"No",'Sales Log'!$T$14:$T$212,AH2)/AH4</f>
        <v>#DIV/0!</v>
      </c>
      <c r="AI3" s="14" t="e">
        <f>COUNTIFS('Sales Log'!$I$14:$I$212,"No",'Sales Log'!$T$14:$T$212,AI2)/AI4</f>
        <v>#DIV/0!</v>
      </c>
      <c r="AJ3" s="14" t="e">
        <f>COUNTIFS('Sales Log'!$I$14:$I$212,"No",'Sales Log'!$T$14:$T$212,AJ2)/AJ4</f>
        <v>#DIV/0!</v>
      </c>
      <c r="AK3" s="14" t="e">
        <f>COUNTIFS('Sales Log'!$I$14:$I$212,"No",'Sales Log'!$T$14:$T$212,AK2)/AK4</f>
        <v>#DIV/0!</v>
      </c>
      <c r="AL3" s="14" t="e">
        <f>COUNTIFS('Sales Log'!$I$14:$I$212,"No",'Sales Log'!$T$14:$T$212,AL2)/AL4</f>
        <v>#DIV/0!</v>
      </c>
      <c r="AM3" s="14" t="e">
        <f>COUNTIFS('Sales Log'!$I$14:$I$212,"No",'Sales Log'!$T$14:$T$212,AM2)/AM4</f>
        <v>#DIV/0!</v>
      </c>
      <c r="AN3" s="14" t="e">
        <f>COUNTIFS('Sales Log'!$I$14:$I$212,"No",'Sales Log'!$T$14:$T$212,AN2)/AN4</f>
        <v>#DIV/0!</v>
      </c>
      <c r="AO3" s="14" t="e">
        <f>COUNTIFS('Sales Log'!$I$14:$I$212,"No",'Sales Log'!$T$14:$T$212,AO2)/AO4</f>
        <v>#DIV/0!</v>
      </c>
      <c r="AP3" s="14" t="e">
        <f>COUNTIFS('Sales Log'!$I$14:$I$212,"No",'Sales Log'!$T$14:$T$212,AP2)/AP4</f>
        <v>#DIV/0!</v>
      </c>
      <c r="AQ3" s="14" t="e">
        <f>COUNTIFS('Sales Log'!$I$14:$I$212,"No",'Sales Log'!$T$14:$T$212,AQ2)/AQ4</f>
        <v>#DIV/0!</v>
      </c>
      <c r="AR3" s="14" t="e">
        <f>COUNTIFS('Sales Log'!$I$14:$I$212,"No",'Sales Log'!$T$14:$T$212,AR2)/AR4</f>
        <v>#DIV/0!</v>
      </c>
      <c r="AS3" s="14" t="e">
        <f>COUNTIFS('Sales Log'!$I$14:$I$212,"No",'Sales Log'!$T$14:$T$212,AS2)/AS4</f>
        <v>#DIV/0!</v>
      </c>
      <c r="AT3" s="14" t="e">
        <f>COUNTIFS('Sales Log'!$I$14:$I$212,"No",'Sales Log'!$T$14:$T$212,AT2)/AT4</f>
        <v>#DIV/0!</v>
      </c>
      <c r="AU3" s="14" t="e">
        <f>COUNTIFS('Sales Log'!$I$14:$I$212,"No",'Sales Log'!$T$14:$T$212,AU2)/AU4</f>
        <v>#DIV/0!</v>
      </c>
      <c r="AV3" s="14" t="e">
        <f>COUNTIFS('Sales Log'!$I$14:$I$212,"No",'Sales Log'!$T$14:$T$212,AV2)/AV4</f>
        <v>#DIV/0!</v>
      </c>
      <c r="AW3" s="14" t="e">
        <f>COUNTIFS('Sales Log'!$I$14:$I$212,"No",'Sales Log'!$T$14:$T$212,AW2)/AW4</f>
        <v>#DIV/0!</v>
      </c>
      <c r="AX3" s="14" t="e">
        <f>COUNTIFS('Sales Log'!$I$14:$I$212,"No",'Sales Log'!$T$14:$T$212,AX2)/AX4</f>
        <v>#DIV/0!</v>
      </c>
      <c r="AY3" s="14" t="e">
        <f>COUNTIFS('Sales Log'!$I$14:$I$212,"No",'Sales Log'!$T$14:$T$212,AY2)/AY4</f>
        <v>#DIV/0!</v>
      </c>
      <c r="AZ3" s="14" t="e">
        <f>COUNTIFS('Sales Log'!$I$14:$I$212,"No",'Sales Log'!$T$14:$T$212,AZ2)/AZ4</f>
        <v>#DIV/0!</v>
      </c>
      <c r="BA3" s="14" t="e">
        <f>COUNTIFS('Sales Log'!$I$14:$I$212,"No",'Sales Log'!$T$14:$T$212,BA2)/BA4</f>
        <v>#DIV/0!</v>
      </c>
      <c r="BB3" s="14" t="e">
        <f>COUNTIFS('Sales Log'!$I$14:$I$212,"No",'Sales Log'!$T$14:$T$212,BB2)/BB4</f>
        <v>#DIV/0!</v>
      </c>
      <c r="BC3" s="14" t="e">
        <f>COUNTIFS('Sales Log'!$I$14:$I$212,"No",'Sales Log'!$T$14:$T$212,BC2)/BC4</f>
        <v>#DIV/0!</v>
      </c>
      <c r="BD3" s="14" t="e">
        <f>COUNTIFS('Sales Log'!$I$14:$I$212,"No",'Sales Log'!$T$14:$T$212,BD2)/BD4</f>
        <v>#DIV/0!</v>
      </c>
      <c r="BE3" s="14" t="e">
        <f>COUNTIFS('Sales Log'!$I$14:$I$212,"No",'Sales Log'!$T$14:$T$212,BE2)/BE4</f>
        <v>#DIV/0!</v>
      </c>
      <c r="BF3" s="14" t="e">
        <f>COUNTIFS('Sales Log'!$I$14:$I$212,"No",'Sales Log'!$T$14:$T$212,BF2)/BF4</f>
        <v>#DIV/0!</v>
      </c>
      <c r="BG3" s="14" t="e">
        <f>COUNTIFS('Sales Log'!$I$14:$I$212,"No",'Sales Log'!$T$14:$T$212,BG2)/BG4</f>
        <v>#DIV/0!</v>
      </c>
      <c r="BH3" s="14" t="e">
        <f>COUNTIFS('Sales Log'!$I$14:$I$212,"No",'Sales Log'!$T$14:$T$212,BH2)/BH4</f>
        <v>#DIV/0!</v>
      </c>
      <c r="BI3" s="14" t="e">
        <f>COUNTIFS('Sales Log'!$I$14:$I$212,"No",'Sales Log'!$T$14:$T$212,BI2)/BI4</f>
        <v>#DIV/0!</v>
      </c>
      <c r="BJ3" s="14" t="e">
        <f>COUNTIFS('Sales Log'!$I$14:$I$212,"No",'Sales Log'!$T$14:$T$212,BJ2)/BJ4</f>
        <v>#DIV/0!</v>
      </c>
      <c r="BK3" s="14" t="e">
        <f>COUNTIFS('Sales Log'!$I$14:$I$212,"No",'Sales Log'!$T$14:$T$212,BK2)/BK4</f>
        <v>#DIV/0!</v>
      </c>
    </row>
    <row r="4" spans="1:63" ht="22.5" customHeight="1">
      <c r="A4" s="5" t="s">
        <v>125</v>
      </c>
      <c r="B4" s="6">
        <f>'Scoreboard Total'!B3</f>
        <v>190</v>
      </c>
      <c r="C4" s="39">
        <f>COUNTIF('Sales Log'!$T$14:$T$212,C2)</f>
        <v>38</v>
      </c>
      <c r="D4" s="39">
        <f>COUNTIF('Sales Log'!$T$14:$T$212,D2)</f>
        <v>34</v>
      </c>
      <c r="E4" s="39">
        <f>COUNTIF('Sales Log'!$T$14:$T$212,E2)</f>
        <v>46</v>
      </c>
      <c r="F4" s="39">
        <f>COUNTIF('Sales Log'!$T$14:$T$212,F2)</f>
        <v>27</v>
      </c>
      <c r="G4" s="39">
        <f>COUNTIF('Sales Log'!$T$14:$T$212,G2)</f>
        <v>19</v>
      </c>
      <c r="H4" s="39">
        <f>COUNTIF('Sales Log'!$T$14:$T$212,H2)</f>
        <v>12</v>
      </c>
      <c r="I4" s="39">
        <f>COUNTIF('Sales Log'!$T$14:$T$212,I2)</f>
        <v>13</v>
      </c>
      <c r="J4" s="39">
        <f>COUNTIF('Sales Log'!$T$14:$T$212,J2)</f>
        <v>0</v>
      </c>
      <c r="K4" s="39">
        <f>COUNTIF('Sales Log'!$T$14:$T$212,K2)</f>
        <v>0</v>
      </c>
      <c r="L4" s="39">
        <f>COUNTIF('Sales Log'!$T$14:$T$212,L2)</f>
        <v>0</v>
      </c>
      <c r="M4" s="39">
        <f>COUNTIF('Sales Log'!$T$14:$T$212,M2)</f>
        <v>0</v>
      </c>
      <c r="N4" s="39">
        <f>COUNTIF('Sales Log'!$T$14:$T$212,N2)</f>
        <v>0</v>
      </c>
      <c r="O4" s="39">
        <f>COUNTIF('Sales Log'!$T$14:$T$212,O2)</f>
        <v>0</v>
      </c>
      <c r="P4" s="39">
        <f>COUNTIF('Sales Log'!$T$14:$T$212,P2)</f>
        <v>0</v>
      </c>
      <c r="Q4" s="39">
        <f>COUNTIF('Sales Log'!$T$14:$T$212,Q2)</f>
        <v>0</v>
      </c>
      <c r="R4" s="39">
        <f>COUNTIF('Sales Log'!$T$14:$T$212,R2)</f>
        <v>0</v>
      </c>
      <c r="S4" s="39">
        <f>COUNTIF('Sales Log'!$T$14:$T$212,S2)</f>
        <v>0</v>
      </c>
      <c r="T4" s="39">
        <f>COUNTIF('Sales Log'!$T$14:$T$212,T2)</f>
        <v>0</v>
      </c>
      <c r="U4" s="39">
        <f>COUNTIF('Sales Log'!$T$14:$T$212,U2)</f>
        <v>0</v>
      </c>
      <c r="V4" s="39">
        <f>COUNTIF('Sales Log'!$T$14:$T$212,V2)</f>
        <v>0</v>
      </c>
      <c r="W4" s="39">
        <f>COUNTIF('Sales Log'!$T$14:$T$212,W2)</f>
        <v>0</v>
      </c>
      <c r="X4" s="39">
        <f>COUNTIF('Sales Log'!$T$14:$T$212,X2)</f>
        <v>0</v>
      </c>
      <c r="Y4" s="39">
        <f>COUNTIF('Sales Log'!$T$14:$T$212,Y2)</f>
        <v>0</v>
      </c>
      <c r="Z4" s="39">
        <f>COUNTIF('Sales Log'!$T$14:$T$212,Z2)</f>
        <v>0</v>
      </c>
      <c r="AA4" s="39">
        <f>COUNTIF('Sales Log'!$T$14:$T$212,AA2)</f>
        <v>0</v>
      </c>
      <c r="AB4" s="39">
        <f>COUNTIF('Sales Log'!$T$14:$T$212,AB2)</f>
        <v>0</v>
      </c>
      <c r="AC4" s="39">
        <f>COUNTIF('Sales Log'!$T$14:$T$212,AC2)</f>
        <v>0</v>
      </c>
      <c r="AD4" s="39">
        <f>COUNTIF('Sales Log'!$T$14:$T$212,AD2)</f>
        <v>0</v>
      </c>
      <c r="AE4" s="39">
        <f>COUNTIF('Sales Log'!$T$14:$T$212,AE2)</f>
        <v>0</v>
      </c>
      <c r="AF4" s="39">
        <f>COUNTIF('Sales Log'!$T$14:$T$212,AF2)</f>
        <v>0</v>
      </c>
      <c r="AG4" s="39">
        <f>COUNTIF('Sales Log'!$T$14:$T$212,AG2)</f>
        <v>0</v>
      </c>
      <c r="AH4" s="39">
        <f>COUNTIF('Sales Log'!$T$14:$T$212,AH2)</f>
        <v>0</v>
      </c>
      <c r="AI4" s="39">
        <f>COUNTIF('Sales Log'!$T$14:$T$212,AI2)</f>
        <v>0</v>
      </c>
      <c r="AJ4" s="39">
        <f>COUNTIF('Sales Log'!$T$14:$T$212,AJ2)</f>
        <v>0</v>
      </c>
      <c r="AK4" s="39">
        <f>COUNTIF('Sales Log'!$T$14:$T$212,AK2)</f>
        <v>0</v>
      </c>
      <c r="AL4" s="39">
        <f>COUNTIF('Sales Log'!$T$14:$T$212,AL2)</f>
        <v>0</v>
      </c>
      <c r="AM4" s="39">
        <f>COUNTIF('Sales Log'!$T$14:$T$212,AM2)</f>
        <v>0</v>
      </c>
      <c r="AN4" s="39">
        <f>COUNTIF('Sales Log'!$T$14:$T$212,AN2)</f>
        <v>0</v>
      </c>
      <c r="AO4" s="39">
        <f>COUNTIF('Sales Log'!$T$14:$T$212,AO2)</f>
        <v>0</v>
      </c>
      <c r="AP4" s="39">
        <f>COUNTIF('Sales Log'!$T$14:$T$212,AP2)</f>
        <v>0</v>
      </c>
      <c r="AQ4" s="39">
        <f>COUNTIF('Sales Log'!$T$14:$T$212,AQ2)</f>
        <v>0</v>
      </c>
      <c r="AR4" s="39">
        <f>COUNTIF('Sales Log'!$T$14:$T$212,AR2)</f>
        <v>0</v>
      </c>
      <c r="AS4" s="39">
        <f>COUNTIF('Sales Log'!$T$14:$T$212,AS2)</f>
        <v>0</v>
      </c>
      <c r="AT4" s="39">
        <f>COUNTIF('Sales Log'!$T$14:$T$212,AT2)</f>
        <v>0</v>
      </c>
      <c r="AU4" s="39">
        <f>COUNTIF('Sales Log'!$T$14:$T$212,AU2)</f>
        <v>0</v>
      </c>
      <c r="AV4" s="39">
        <f>COUNTIF('Sales Log'!$T$14:$T$212,AV2)</f>
        <v>0</v>
      </c>
      <c r="AW4" s="39">
        <f>COUNTIF('Sales Log'!$T$14:$T$212,AW2)</f>
        <v>0</v>
      </c>
      <c r="AX4" s="39">
        <f>COUNTIF('Sales Log'!$T$14:$T$212,AX2)</f>
        <v>0</v>
      </c>
      <c r="AY4" s="39">
        <f>COUNTIF('Sales Log'!$T$14:$T$212,AY2)</f>
        <v>0</v>
      </c>
      <c r="AZ4" s="39">
        <f>COUNTIF('Sales Log'!$T$14:$T$212,AZ2)</f>
        <v>0</v>
      </c>
      <c r="BA4" s="39">
        <f>COUNTIF('Sales Log'!$T$14:$T$212,BA2)</f>
        <v>0</v>
      </c>
      <c r="BB4" s="39">
        <f>COUNTIF('Sales Log'!$T$14:$T$212,BB2)</f>
        <v>0</v>
      </c>
      <c r="BC4" s="39">
        <f>COUNTIF('Sales Log'!$T$14:$T$212,BC2)</f>
        <v>0</v>
      </c>
      <c r="BD4" s="39">
        <f>COUNTIF('Sales Log'!$T$14:$T$212,BD2)</f>
        <v>0</v>
      </c>
      <c r="BE4" s="39">
        <f>COUNTIF('Sales Log'!$T$14:$T$212,BE2)</f>
        <v>0</v>
      </c>
      <c r="BF4" s="39">
        <f>COUNTIF('Sales Log'!$T$14:$T$212,BF2)</f>
        <v>0</v>
      </c>
      <c r="BG4" s="39">
        <f>COUNTIF('Sales Log'!$T$14:$T$212,BG2)</f>
        <v>0</v>
      </c>
      <c r="BH4" s="39">
        <f>COUNTIF('Sales Log'!$T$14:$T$212,BH2)</f>
        <v>0</v>
      </c>
      <c r="BI4" s="39">
        <f>COUNTIF('Sales Log'!$T$14:$T$212,BI2)</f>
        <v>0</v>
      </c>
      <c r="BJ4" s="39">
        <f>COUNTIF('Sales Log'!$T$14:$T$212,BJ2)</f>
        <v>0</v>
      </c>
      <c r="BK4" s="39">
        <f>COUNTIF('Sales Log'!$T$14:$T$212,BK2)</f>
        <v>0</v>
      </c>
    </row>
    <row r="5" spans="1:63" ht="21.75" customHeight="1">
      <c r="A5" s="5" t="s">
        <v>126</v>
      </c>
      <c r="B5" s="7">
        <f>'Sales Log'!$F$213</f>
        <v>26.7</v>
      </c>
      <c r="C5" s="24">
        <f ca="1">AVERAGEIF('Sales Log'!$T$14:$T$212,C2,'Sales Log'!$F$14:$F$208)</f>
        <v>23.078947368421051</v>
      </c>
      <c r="D5" s="24">
        <f ca="1">AVERAGEIF('Sales Log'!$T$14:$T$212,D2,'Sales Log'!$F$14:$F$208)</f>
        <v>30.029411764705884</v>
      </c>
      <c r="E5" s="24">
        <f ca="1">AVERAGEIF('Sales Log'!$T$14:$T$212,E2,'Sales Log'!$F$14:$F$208)</f>
        <v>21.891304347826086</v>
      </c>
      <c r="F5" s="24">
        <f ca="1">AVERAGEIF('Sales Log'!$T$14:$T$212,F2,'Sales Log'!$F$14:$F$208)</f>
        <v>36.814814814814817</v>
      </c>
      <c r="G5" s="24">
        <f ca="1">AVERAGEIF('Sales Log'!$T$14:$T$212,G2,'Sales Log'!$F$14:$F$208)</f>
        <v>18.736842105263158</v>
      </c>
      <c r="H5" s="24">
        <f ca="1">AVERAGEIF('Sales Log'!$T$14:$T$212,H2,'Sales Log'!$F$14:$F$208)</f>
        <v>32.333333333333336</v>
      </c>
      <c r="I5" s="24">
        <f ca="1">AVERAGEIF('Sales Log'!$T$14:$T$212,I2,'Sales Log'!$F$14:$F$208)</f>
        <v>31.46153846153846</v>
      </c>
      <c r="J5" s="24" t="e">
        <f ca="1">AVERAGEIF('Sales Log'!$T$14:$T$212,J2,'Sales Log'!$F$14:$F$208)</f>
        <v>#DIV/0!</v>
      </c>
      <c r="K5" s="24" t="e">
        <f ca="1">AVERAGEIF('Sales Log'!$T$14:$T$212,K2,'Sales Log'!$F$14:$F$208)</f>
        <v>#DIV/0!</v>
      </c>
      <c r="L5" s="24" t="e">
        <f ca="1">AVERAGEIF('Sales Log'!$T$14:$T$212,L2,'Sales Log'!$F$14:$F$208)</f>
        <v>#DIV/0!</v>
      </c>
      <c r="M5" s="24" t="e">
        <f ca="1">AVERAGEIF('Sales Log'!$T$14:$T$212,M2,'Sales Log'!$F$14:$F$208)</f>
        <v>#DIV/0!</v>
      </c>
      <c r="N5" s="24" t="e">
        <f ca="1">AVERAGEIF('Sales Log'!$T$14:$T$212,N2,'Sales Log'!$F$14:$F$208)</f>
        <v>#DIV/0!</v>
      </c>
      <c r="O5" s="24" t="e">
        <f ca="1">AVERAGEIF('Sales Log'!$T$14:$T$212,O2,'Sales Log'!$F$14:$F$208)</f>
        <v>#DIV/0!</v>
      </c>
      <c r="P5" s="24" t="e">
        <f ca="1">AVERAGEIF('Sales Log'!$T$14:$T$212,P2,'Sales Log'!$F$14:$F$208)</f>
        <v>#DIV/0!</v>
      </c>
      <c r="Q5" s="24" t="e">
        <f ca="1">AVERAGEIF('Sales Log'!$T$14:$T$212,Q2,'Sales Log'!$F$14:$F$208)</f>
        <v>#DIV/0!</v>
      </c>
      <c r="R5" s="24" t="e">
        <f ca="1">AVERAGEIF('Sales Log'!$T$14:$T$212,R2,'Sales Log'!$F$14:$F$208)</f>
        <v>#DIV/0!</v>
      </c>
      <c r="S5" s="24" t="e">
        <f ca="1">AVERAGEIF('Sales Log'!$T$14:$T$212,S2,'Sales Log'!$F$14:$F$208)</f>
        <v>#DIV/0!</v>
      </c>
      <c r="T5" s="24" t="e">
        <f ca="1">AVERAGEIF('Sales Log'!$T$14:$T$212,T2,'Sales Log'!$F$14:$F$208)</f>
        <v>#DIV/0!</v>
      </c>
      <c r="U5" s="24" t="e">
        <f ca="1">AVERAGEIF('Sales Log'!$T$14:$T$212,U2,'Sales Log'!$F$14:$F$208)</f>
        <v>#DIV/0!</v>
      </c>
      <c r="V5" s="24" t="e">
        <f ca="1">AVERAGEIF('Sales Log'!$T$14:$T$212,V2,'Sales Log'!$F$14:$F$208)</f>
        <v>#DIV/0!</v>
      </c>
      <c r="W5" s="24" t="e">
        <f ca="1">AVERAGEIF('Sales Log'!$T$14:$T$212,W2,'Sales Log'!$F$14:$F$208)</f>
        <v>#DIV/0!</v>
      </c>
      <c r="X5" s="24" t="e">
        <f ca="1">AVERAGEIF('Sales Log'!$T$14:$T$212,X2,'Sales Log'!$F$14:$F$208)</f>
        <v>#DIV/0!</v>
      </c>
      <c r="Y5" s="24" t="e">
        <f ca="1">AVERAGEIF('Sales Log'!$T$14:$T$212,Y2,'Sales Log'!$F$14:$F$208)</f>
        <v>#DIV/0!</v>
      </c>
      <c r="Z5" s="24" t="e">
        <f ca="1">AVERAGEIF('Sales Log'!$T$14:$T$212,Z2,'Sales Log'!$F$14:$F$208)</f>
        <v>#DIV/0!</v>
      </c>
      <c r="AA5" s="24" t="e">
        <f ca="1">AVERAGEIF('Sales Log'!$T$14:$T$212,AA2,'Sales Log'!$F$14:$F$208)</f>
        <v>#DIV/0!</v>
      </c>
      <c r="AB5" s="24" t="e">
        <f ca="1">AVERAGEIF('Sales Log'!$T$14:$T$212,AB2,'Sales Log'!$F$14:$F$208)</f>
        <v>#DIV/0!</v>
      </c>
      <c r="AC5" s="24" t="e">
        <f ca="1">AVERAGEIF('Sales Log'!$T$14:$T$212,AC2,'Sales Log'!$F$14:$F$208)</f>
        <v>#DIV/0!</v>
      </c>
      <c r="AD5" s="24" t="e">
        <f ca="1">AVERAGEIF('Sales Log'!$T$14:$T$212,AD2,'Sales Log'!$F$14:$F$208)</f>
        <v>#DIV/0!</v>
      </c>
      <c r="AE5" s="24" t="e">
        <f ca="1">AVERAGEIF('Sales Log'!$T$14:$T$212,AE2,'Sales Log'!$F$14:$F$208)</f>
        <v>#DIV/0!</v>
      </c>
      <c r="AF5" s="24" t="e">
        <f ca="1">AVERAGEIF('Sales Log'!$T$14:$T$212,AF2,'Sales Log'!$F$14:$F$208)</f>
        <v>#DIV/0!</v>
      </c>
      <c r="AG5" s="24" t="e">
        <f ca="1">AVERAGEIF('Sales Log'!$T$14:$T$212,AG2,'Sales Log'!$F$14:$F$208)</f>
        <v>#DIV/0!</v>
      </c>
      <c r="AH5" s="24" t="e">
        <f ca="1">AVERAGEIF('Sales Log'!$T$14:$T$212,AH2,'Sales Log'!$F$14:$F$208)</f>
        <v>#DIV/0!</v>
      </c>
      <c r="AI5" s="24" t="e">
        <f ca="1">AVERAGEIF('Sales Log'!$T$14:$T$212,AI2,'Sales Log'!$F$14:$F$208)</f>
        <v>#DIV/0!</v>
      </c>
      <c r="AJ5" s="24" t="e">
        <f ca="1">AVERAGEIF('Sales Log'!$T$14:$T$212,AJ2,'Sales Log'!$F$14:$F$208)</f>
        <v>#DIV/0!</v>
      </c>
      <c r="AK5" s="24" t="e">
        <f ca="1">AVERAGEIF('Sales Log'!$T$14:$T$212,AK2,'Sales Log'!$F$14:$F$208)</f>
        <v>#DIV/0!</v>
      </c>
      <c r="AL5" s="24" t="e">
        <f ca="1">AVERAGEIF('Sales Log'!$T$14:$T$212,AL2,'Sales Log'!$F$14:$F$208)</f>
        <v>#DIV/0!</v>
      </c>
      <c r="AM5" s="24" t="e">
        <f ca="1">AVERAGEIF('Sales Log'!$T$14:$T$212,AM2,'Sales Log'!$F$14:$F$208)</f>
        <v>#DIV/0!</v>
      </c>
      <c r="AN5" s="24" t="e">
        <f ca="1">AVERAGEIF('Sales Log'!$T$14:$T$212,AN2,'Sales Log'!$F$14:$F$208)</f>
        <v>#DIV/0!</v>
      </c>
      <c r="AO5" s="24" t="e">
        <f ca="1">AVERAGEIF('Sales Log'!$T$14:$T$212,AO2,'Sales Log'!$F$14:$F$208)</f>
        <v>#DIV/0!</v>
      </c>
      <c r="AP5" s="24" t="e">
        <f ca="1">AVERAGEIF('Sales Log'!$T$14:$T$212,AP2,'Sales Log'!$F$14:$F$208)</f>
        <v>#DIV/0!</v>
      </c>
      <c r="AQ5" s="24" t="e">
        <f ca="1">AVERAGEIF('Sales Log'!$T$14:$T$212,AQ2,'Sales Log'!$F$14:$F$208)</f>
        <v>#DIV/0!</v>
      </c>
      <c r="AR5" s="24" t="e">
        <f ca="1">AVERAGEIF('Sales Log'!$T$14:$T$212,AR2,'Sales Log'!$F$14:$F$208)</f>
        <v>#DIV/0!</v>
      </c>
      <c r="AS5" s="24" t="e">
        <f ca="1">AVERAGEIF('Sales Log'!$T$14:$T$212,AS2,'Sales Log'!$F$14:$F$208)</f>
        <v>#DIV/0!</v>
      </c>
      <c r="AT5" s="24" t="e">
        <f ca="1">AVERAGEIF('Sales Log'!$T$14:$T$212,AT2,'Sales Log'!$F$14:$F$208)</f>
        <v>#DIV/0!</v>
      </c>
      <c r="AU5" s="24" t="e">
        <f ca="1">AVERAGEIF('Sales Log'!$T$14:$T$212,AU2,'Sales Log'!$F$14:$F$208)</f>
        <v>#DIV/0!</v>
      </c>
      <c r="AV5" s="24" t="e">
        <f ca="1">AVERAGEIF('Sales Log'!$T$14:$T$212,AV2,'Sales Log'!$F$14:$F$208)</f>
        <v>#DIV/0!</v>
      </c>
      <c r="AW5" s="24" t="e">
        <f ca="1">AVERAGEIF('Sales Log'!$T$14:$T$212,AW2,'Sales Log'!$F$14:$F$208)</f>
        <v>#DIV/0!</v>
      </c>
      <c r="AX5" s="24" t="e">
        <f ca="1">AVERAGEIF('Sales Log'!$T$14:$T$212,AX2,'Sales Log'!$F$14:$F$208)</f>
        <v>#DIV/0!</v>
      </c>
      <c r="AY5" s="24" t="e">
        <f ca="1">AVERAGEIF('Sales Log'!$T$14:$T$212,AY2,'Sales Log'!$F$14:$F$208)</f>
        <v>#DIV/0!</v>
      </c>
      <c r="AZ5" s="24" t="e">
        <f ca="1">AVERAGEIF('Sales Log'!$T$14:$T$212,AZ2,'Sales Log'!$F$14:$F$208)</f>
        <v>#DIV/0!</v>
      </c>
      <c r="BA5" s="24" t="e">
        <f ca="1">AVERAGEIF('Sales Log'!$T$14:$T$212,BA2,'Sales Log'!$F$14:$F$208)</f>
        <v>#DIV/0!</v>
      </c>
      <c r="BB5" s="24" t="e">
        <f ca="1">AVERAGEIF('Sales Log'!$T$14:$T$212,BB2,'Sales Log'!$F$14:$F$208)</f>
        <v>#DIV/0!</v>
      </c>
      <c r="BC5" s="24" t="e">
        <f ca="1">AVERAGEIF('Sales Log'!$T$14:$T$212,BC2,'Sales Log'!$F$14:$F$208)</f>
        <v>#DIV/0!</v>
      </c>
      <c r="BD5" s="24" t="e">
        <f ca="1">AVERAGEIF('Sales Log'!$T$14:$T$212,BD2,'Sales Log'!$F$14:$F$208)</f>
        <v>#DIV/0!</v>
      </c>
      <c r="BE5" s="24" t="e">
        <f ca="1">AVERAGEIF('Sales Log'!$T$14:$T$212,BE2,'Sales Log'!$F$14:$F$208)</f>
        <v>#DIV/0!</v>
      </c>
      <c r="BF5" s="24" t="e">
        <f ca="1">AVERAGEIF('Sales Log'!$T$14:$T$212,BF2,'Sales Log'!$F$14:$F$208)</f>
        <v>#DIV/0!</v>
      </c>
      <c r="BG5" s="24" t="e">
        <f ca="1">AVERAGEIF('Sales Log'!$T$14:$T$212,BG2,'Sales Log'!$F$14:$F$208)</f>
        <v>#DIV/0!</v>
      </c>
      <c r="BH5" s="24" t="e">
        <f ca="1">AVERAGEIF('Sales Log'!$T$14:$T$212,BH2,'Sales Log'!$F$14:$F$208)</f>
        <v>#DIV/0!</v>
      </c>
      <c r="BI5" s="24" t="e">
        <f ca="1">AVERAGEIF('Sales Log'!$T$14:$T$212,BI2,'Sales Log'!$F$14:$F$208)</f>
        <v>#DIV/0!</v>
      </c>
      <c r="BJ5" s="24" t="e">
        <f ca="1">AVERAGEIF('Sales Log'!$T$14:$T$212,BJ2,'Sales Log'!$F$14:$F$208)</f>
        <v>#DIV/0!</v>
      </c>
      <c r="BK5" s="24" t="e">
        <f ca="1">AVERAGEIF('Sales Log'!$T$14:$T$212,BK2,'Sales Log'!$F$14:$F$208)</f>
        <v>#DIV/0!</v>
      </c>
    </row>
    <row r="6" spans="1:63" ht="22.5" customHeight="1">
      <c r="A6" s="5" t="s">
        <v>127</v>
      </c>
      <c r="B6" s="8">
        <f>'Sales Log'!$J$213</f>
        <v>27943.859526315784</v>
      </c>
      <c r="C6" s="8">
        <f>AVERAGEIF('Sales Log'!$T$14:$T$212,C2,'Sales Log'!$J$14:$J$212)</f>
        <v>28093.279473684215</v>
      </c>
      <c r="D6" s="8">
        <f>AVERAGEIF('Sales Log'!$T$14:$T$212,D2,'Sales Log'!$J$14:$J$212)</f>
        <v>29598.577647058828</v>
      </c>
      <c r="E6" s="8">
        <f>AVERAGEIF('Sales Log'!$T$14:$T$212,E2,'Sales Log'!$J$14:$J$212)</f>
        <v>25935.880434782608</v>
      </c>
      <c r="F6" s="8">
        <f>AVERAGEIF('Sales Log'!$T$14:$T$212,F2,'Sales Log'!$J$14:$J$212)</f>
        <v>27223.452592592595</v>
      </c>
      <c r="G6" s="8">
        <f>AVERAGEIF('Sales Log'!$T$14:$T$212,G2,'Sales Log'!$J$14:$J$212)</f>
        <v>31937.725789473687</v>
      </c>
      <c r="H6" s="8">
        <f>AVERAGEIF('Sales Log'!$T$14:$T$212,H2,'Sales Log'!$J$14:$J$212)</f>
        <v>24955.395</v>
      </c>
      <c r="I6" s="8">
        <f>AVERAGEIF('Sales Log'!$T$14:$T$212,I2,'Sales Log'!$J$14:$J$212)</f>
        <v>28467.446153846155</v>
      </c>
      <c r="J6" s="8" t="e">
        <f>AVERAGEIF('Sales Log'!$T$14:$T$212,J2,'Sales Log'!$J$14:$J$212)</f>
        <v>#DIV/0!</v>
      </c>
      <c r="K6" s="8" t="e">
        <f>AVERAGEIF('Sales Log'!$T$14:$T$212,K2,'Sales Log'!$J$14:$J$212)</f>
        <v>#DIV/0!</v>
      </c>
      <c r="L6" s="8" t="e">
        <f>AVERAGEIF('Sales Log'!$T$14:$T$212,L2,'Sales Log'!$J$14:$J$212)</f>
        <v>#DIV/0!</v>
      </c>
      <c r="M6" s="8" t="e">
        <f>AVERAGEIF('Sales Log'!$T$14:$T$212,M2,'Sales Log'!$J$14:$J$212)</f>
        <v>#DIV/0!</v>
      </c>
      <c r="N6" s="8" t="e">
        <f>AVERAGEIF('Sales Log'!$T$14:$T$212,N2,'Sales Log'!$J$14:$J$212)</f>
        <v>#DIV/0!</v>
      </c>
      <c r="O6" s="8" t="e">
        <f>AVERAGEIF('Sales Log'!$T$14:$T$212,O2,'Sales Log'!$J$14:$J$212)</f>
        <v>#DIV/0!</v>
      </c>
      <c r="P6" s="8" t="e">
        <f>AVERAGEIF('Sales Log'!$T$14:$T$212,P2,'Sales Log'!$J$14:$J$212)</f>
        <v>#DIV/0!</v>
      </c>
      <c r="Q6" s="8" t="e">
        <f>AVERAGEIF('Sales Log'!$T$14:$T$212,Q2,'Sales Log'!$J$14:$J$212)</f>
        <v>#DIV/0!</v>
      </c>
      <c r="R6" s="8" t="e">
        <f>AVERAGEIF('Sales Log'!$T$14:$T$212,R2,'Sales Log'!$J$14:$J$212)</f>
        <v>#DIV/0!</v>
      </c>
      <c r="S6" s="8" t="e">
        <f>AVERAGEIF('Sales Log'!$T$14:$T$212,S2,'Sales Log'!$J$14:$J$212)</f>
        <v>#DIV/0!</v>
      </c>
      <c r="T6" s="8" t="e">
        <f>AVERAGEIF('Sales Log'!$T$14:$T$212,T2,'Sales Log'!$J$14:$J$212)</f>
        <v>#DIV/0!</v>
      </c>
      <c r="U6" s="8" t="e">
        <f>AVERAGEIF('Sales Log'!$T$14:$T$212,U2,'Sales Log'!$J$14:$J$212)</f>
        <v>#DIV/0!</v>
      </c>
      <c r="V6" s="8" t="e">
        <f>AVERAGEIF('Sales Log'!$T$14:$T$212,V2,'Sales Log'!$J$14:$J$212)</f>
        <v>#DIV/0!</v>
      </c>
      <c r="W6" s="8" t="e">
        <f>AVERAGEIF('Sales Log'!$T$14:$T$212,W2,'Sales Log'!$J$14:$J$212)</f>
        <v>#DIV/0!</v>
      </c>
      <c r="X6" s="8" t="e">
        <f>AVERAGEIF('Sales Log'!$T$14:$T$212,X2,'Sales Log'!$J$14:$J$212)</f>
        <v>#DIV/0!</v>
      </c>
      <c r="Y6" s="8" t="e">
        <f>AVERAGEIF('Sales Log'!$T$14:$T$212,Y2,'Sales Log'!$J$14:$J$212)</f>
        <v>#DIV/0!</v>
      </c>
      <c r="Z6" s="8" t="e">
        <f>AVERAGEIF('Sales Log'!$T$14:$T$212,Z2,'Sales Log'!$J$14:$J$212)</f>
        <v>#DIV/0!</v>
      </c>
      <c r="AA6" s="8" t="e">
        <f>AVERAGEIF('Sales Log'!$T$14:$T$212,AA2,'Sales Log'!$J$14:$J$212)</f>
        <v>#DIV/0!</v>
      </c>
      <c r="AB6" s="8" t="e">
        <f>AVERAGEIF('Sales Log'!$T$14:$T$212,AB2,'Sales Log'!$J$14:$J$212)</f>
        <v>#DIV/0!</v>
      </c>
      <c r="AC6" s="8" t="e">
        <f>AVERAGEIF('Sales Log'!$T$14:$T$212,AC2,'Sales Log'!$J$14:$J$212)</f>
        <v>#DIV/0!</v>
      </c>
      <c r="AD6" s="8" t="e">
        <f>AVERAGEIF('Sales Log'!$T$14:$T$212,AD2,'Sales Log'!$J$14:$J$212)</f>
        <v>#DIV/0!</v>
      </c>
      <c r="AE6" s="8" t="e">
        <f>AVERAGEIF('Sales Log'!$T$14:$T$212,AE2,'Sales Log'!$J$14:$J$212)</f>
        <v>#DIV/0!</v>
      </c>
      <c r="AF6" s="8" t="e">
        <f>AVERAGEIF('Sales Log'!$T$14:$T$212,AF2,'Sales Log'!$J$14:$J$212)</f>
        <v>#DIV/0!</v>
      </c>
      <c r="AG6" s="8" t="e">
        <f>AVERAGEIF('Sales Log'!$T$14:$T$212,AG2,'Sales Log'!$J$14:$J$212)</f>
        <v>#DIV/0!</v>
      </c>
      <c r="AH6" s="8" t="e">
        <f>AVERAGEIF('Sales Log'!$T$14:$T$212,AH2,'Sales Log'!$J$14:$J$212)</f>
        <v>#DIV/0!</v>
      </c>
      <c r="AI6" s="8" t="e">
        <f>AVERAGEIF('Sales Log'!$T$14:$T$212,AI2,'Sales Log'!$J$14:$J$212)</f>
        <v>#DIV/0!</v>
      </c>
      <c r="AJ6" s="8" t="e">
        <f>AVERAGEIF('Sales Log'!$T$14:$T$212,AJ2,'Sales Log'!$J$14:$J$212)</f>
        <v>#DIV/0!</v>
      </c>
      <c r="AK6" s="8" t="e">
        <f>AVERAGEIF('Sales Log'!$T$14:$T$212,AK2,'Sales Log'!$J$14:$J$212)</f>
        <v>#DIV/0!</v>
      </c>
      <c r="AL6" s="8" t="e">
        <f>AVERAGEIF('Sales Log'!$T$14:$T$212,AL2,'Sales Log'!$J$14:$J$212)</f>
        <v>#DIV/0!</v>
      </c>
      <c r="AM6" s="8" t="e">
        <f>AVERAGEIF('Sales Log'!$T$14:$T$212,AM2,'Sales Log'!$J$14:$J$212)</f>
        <v>#DIV/0!</v>
      </c>
      <c r="AN6" s="8" t="e">
        <f>AVERAGEIF('Sales Log'!$T$14:$T$212,AN2,'Sales Log'!$J$14:$J$212)</f>
        <v>#DIV/0!</v>
      </c>
      <c r="AO6" s="8" t="e">
        <f>AVERAGEIF('Sales Log'!$T$14:$T$212,AO2,'Sales Log'!$J$14:$J$212)</f>
        <v>#DIV/0!</v>
      </c>
      <c r="AP6" s="8" t="e">
        <f>AVERAGEIF('Sales Log'!$T$14:$T$212,AP2,'Sales Log'!$J$14:$J$212)</f>
        <v>#DIV/0!</v>
      </c>
      <c r="AQ6" s="8" t="e">
        <f>AVERAGEIF('Sales Log'!$T$14:$T$212,AQ2,'Sales Log'!$J$14:$J$212)</f>
        <v>#DIV/0!</v>
      </c>
      <c r="AR6" s="8" t="e">
        <f>AVERAGEIF('Sales Log'!$T$14:$T$212,AR2,'Sales Log'!$J$14:$J$212)</f>
        <v>#DIV/0!</v>
      </c>
      <c r="AS6" s="8" t="e">
        <f>AVERAGEIF('Sales Log'!$T$14:$T$212,AS2,'Sales Log'!$J$14:$J$212)</f>
        <v>#DIV/0!</v>
      </c>
      <c r="AT6" s="8" t="e">
        <f>AVERAGEIF('Sales Log'!$T$14:$T$212,AT2,'Sales Log'!$J$14:$J$212)</f>
        <v>#DIV/0!</v>
      </c>
      <c r="AU6" s="8" t="e">
        <f>AVERAGEIF('Sales Log'!$T$14:$T$212,AU2,'Sales Log'!$J$14:$J$212)</f>
        <v>#DIV/0!</v>
      </c>
      <c r="AV6" s="8" t="e">
        <f>AVERAGEIF('Sales Log'!$T$14:$T$212,AV2,'Sales Log'!$J$14:$J$212)</f>
        <v>#DIV/0!</v>
      </c>
      <c r="AW6" s="8" t="e">
        <f>AVERAGEIF('Sales Log'!$T$14:$T$212,AW2,'Sales Log'!$J$14:$J$212)</f>
        <v>#DIV/0!</v>
      </c>
      <c r="AX6" s="8" t="e">
        <f>AVERAGEIF('Sales Log'!$T$14:$T$212,AX2,'Sales Log'!$J$14:$J$212)</f>
        <v>#DIV/0!</v>
      </c>
      <c r="AY6" s="8" t="e">
        <f>AVERAGEIF('Sales Log'!$T$14:$T$212,AY2,'Sales Log'!$J$14:$J$212)</f>
        <v>#DIV/0!</v>
      </c>
      <c r="AZ6" s="8" t="e">
        <f>AVERAGEIF('Sales Log'!$T$14:$T$212,AZ2,'Sales Log'!$J$14:$J$212)</f>
        <v>#DIV/0!</v>
      </c>
      <c r="BA6" s="8" t="e">
        <f>AVERAGEIF('Sales Log'!$T$14:$T$212,BA2,'Sales Log'!$J$14:$J$212)</f>
        <v>#DIV/0!</v>
      </c>
      <c r="BB6" s="8" t="e">
        <f>AVERAGEIF('Sales Log'!$T$14:$T$212,BB2,'Sales Log'!$J$14:$J$212)</f>
        <v>#DIV/0!</v>
      </c>
      <c r="BC6" s="8" t="e">
        <f>AVERAGEIF('Sales Log'!$T$14:$T$212,BC2,'Sales Log'!$J$14:$J$212)</f>
        <v>#DIV/0!</v>
      </c>
      <c r="BD6" s="8" t="e">
        <f>AVERAGEIF('Sales Log'!$T$14:$T$212,BD2,'Sales Log'!$J$14:$J$212)</f>
        <v>#DIV/0!</v>
      </c>
      <c r="BE6" s="8" t="e">
        <f>AVERAGEIF('Sales Log'!$T$14:$T$212,BE2,'Sales Log'!$J$14:$J$212)</f>
        <v>#DIV/0!</v>
      </c>
      <c r="BF6" s="8" t="e">
        <f>AVERAGEIF('Sales Log'!$T$14:$T$212,BF2,'Sales Log'!$J$14:$J$212)</f>
        <v>#DIV/0!</v>
      </c>
      <c r="BG6" s="8" t="e">
        <f>AVERAGEIF('Sales Log'!$T$14:$T$212,BG2,'Sales Log'!$J$14:$J$212)</f>
        <v>#DIV/0!</v>
      </c>
      <c r="BH6" s="8" t="e">
        <f>AVERAGEIF('Sales Log'!$T$14:$T$212,BH2,'Sales Log'!$J$14:$J$212)</f>
        <v>#DIV/0!</v>
      </c>
      <c r="BI6" s="8" t="e">
        <f>AVERAGEIF('Sales Log'!$T$14:$T$212,BI2,'Sales Log'!$J$14:$J$212)</f>
        <v>#DIV/0!</v>
      </c>
      <c r="BJ6" s="8" t="e">
        <f>AVERAGEIF('Sales Log'!$T$14:$T$212,BJ2,'Sales Log'!$J$14:$J$212)</f>
        <v>#DIV/0!</v>
      </c>
      <c r="BK6" s="8" t="e">
        <f>AVERAGEIF('Sales Log'!$T$14:$T$212,BK2,'Sales Log'!$J$14:$J$212)</f>
        <v>#DIV/0!</v>
      </c>
    </row>
    <row r="7" spans="1:63" ht="22.5" customHeight="1">
      <c r="A7" s="5" t="s">
        <v>128</v>
      </c>
      <c r="B7" s="8">
        <f>'Sales Log'!$K$213</f>
        <v>27871.358526315784</v>
      </c>
      <c r="C7" s="8">
        <f>AVERAGEIF('Sales Log'!$T$14:$T$212,C2,'Sales Log'!$K$14:$K$212)</f>
        <v>28004.688421052637</v>
      </c>
      <c r="D7" s="8">
        <f>AVERAGEIF('Sales Log'!$T$14:$T$212,D2,'Sales Log'!$K$14:$K$212)</f>
        <v>29558.901176470594</v>
      </c>
      <c r="E7" s="8">
        <f>AVERAGEIF('Sales Log'!$T$14:$T$212,E2,'Sales Log'!$K$14:$K$212)</f>
        <v>25855.743913043476</v>
      </c>
      <c r="F7" s="8">
        <f>AVERAGEIF('Sales Log'!$T$14:$T$212,F2,'Sales Log'!$K$14:$K$212)</f>
        <v>27202.137407407412</v>
      </c>
      <c r="G7" s="8">
        <f>AVERAGEIF('Sales Log'!$T$14:$T$212,G2,'Sales Log'!$K$14:$K$212)</f>
        <v>31937.725789473687</v>
      </c>
      <c r="H7" s="8">
        <f>AVERAGEIF('Sales Log'!$T$14:$T$212,H2,'Sales Log'!$K$14:$K$212)</f>
        <v>24807.145</v>
      </c>
      <c r="I7" s="8">
        <f>AVERAGEIF('Sales Log'!$T$14:$T$212,I2,'Sales Log'!$K$14:$K$212)</f>
        <v>28158.296923076923</v>
      </c>
      <c r="J7" s="8" t="e">
        <f>AVERAGEIF('Sales Log'!$T$14:$T$212,J2,'Sales Log'!$K$14:$K$212)</f>
        <v>#DIV/0!</v>
      </c>
      <c r="K7" s="8" t="e">
        <f>AVERAGEIF('Sales Log'!$T$14:$T$212,K2,'Sales Log'!$K$14:$K$212)</f>
        <v>#DIV/0!</v>
      </c>
      <c r="L7" s="8" t="e">
        <f>AVERAGEIF('Sales Log'!$T$14:$T$212,L2,'Sales Log'!$K$14:$K$212)</f>
        <v>#DIV/0!</v>
      </c>
      <c r="M7" s="8" t="e">
        <f>AVERAGEIF('Sales Log'!$T$14:$T$212,M2,'Sales Log'!$K$14:$K$212)</f>
        <v>#DIV/0!</v>
      </c>
      <c r="N7" s="8" t="e">
        <f>AVERAGEIF('Sales Log'!$T$14:$T$212,N2,'Sales Log'!$K$14:$K$212)</f>
        <v>#DIV/0!</v>
      </c>
      <c r="O7" s="8" t="e">
        <f>AVERAGEIF('Sales Log'!$T$14:$T$212,O2,'Sales Log'!$K$14:$K$212)</f>
        <v>#DIV/0!</v>
      </c>
      <c r="P7" s="8" t="e">
        <f>AVERAGEIF('Sales Log'!$T$14:$T$212,P2,'Sales Log'!$K$14:$K$212)</f>
        <v>#DIV/0!</v>
      </c>
      <c r="Q7" s="8" t="e">
        <f>AVERAGEIF('Sales Log'!$T$14:$T$212,Q2,'Sales Log'!$K$14:$K$212)</f>
        <v>#DIV/0!</v>
      </c>
      <c r="R7" s="8" t="e">
        <f>AVERAGEIF('Sales Log'!$T$14:$T$212,R2,'Sales Log'!$K$14:$K$212)</f>
        <v>#DIV/0!</v>
      </c>
      <c r="S7" s="8" t="e">
        <f>AVERAGEIF('Sales Log'!$T$14:$T$212,S2,'Sales Log'!$K$14:$K$212)</f>
        <v>#DIV/0!</v>
      </c>
      <c r="T7" s="8" t="e">
        <f>AVERAGEIF('Sales Log'!$T$14:$T$212,T2,'Sales Log'!$K$14:$K$212)</f>
        <v>#DIV/0!</v>
      </c>
      <c r="U7" s="8" t="e">
        <f>AVERAGEIF('Sales Log'!$T$14:$T$212,U2,'Sales Log'!$K$14:$K$212)</f>
        <v>#DIV/0!</v>
      </c>
      <c r="V7" s="8" t="e">
        <f>AVERAGEIF('Sales Log'!$T$14:$T$212,V2,'Sales Log'!$K$14:$K$212)</f>
        <v>#DIV/0!</v>
      </c>
      <c r="W7" s="8" t="e">
        <f>AVERAGEIF('Sales Log'!$T$14:$T$212,W2,'Sales Log'!$K$14:$K$212)</f>
        <v>#DIV/0!</v>
      </c>
      <c r="X7" s="8" t="e">
        <f>AVERAGEIF('Sales Log'!$T$14:$T$212,X2,'Sales Log'!$K$14:$K$212)</f>
        <v>#DIV/0!</v>
      </c>
      <c r="Y7" s="8" t="e">
        <f>AVERAGEIF('Sales Log'!$T$14:$T$212,Y2,'Sales Log'!$K$14:$K$212)</f>
        <v>#DIV/0!</v>
      </c>
      <c r="Z7" s="8" t="e">
        <f>AVERAGEIF('Sales Log'!$T$14:$T$212,Z2,'Sales Log'!$K$14:$K$212)</f>
        <v>#DIV/0!</v>
      </c>
      <c r="AA7" s="8" t="e">
        <f>AVERAGEIF('Sales Log'!$T$14:$T$212,AA2,'Sales Log'!$K$14:$K$212)</f>
        <v>#DIV/0!</v>
      </c>
      <c r="AB7" s="8" t="e">
        <f>AVERAGEIF('Sales Log'!$T$14:$T$212,AB2,'Sales Log'!$K$14:$K$212)</f>
        <v>#DIV/0!</v>
      </c>
      <c r="AC7" s="8" t="e">
        <f>AVERAGEIF('Sales Log'!$T$14:$T$212,AC2,'Sales Log'!$K$14:$K$212)</f>
        <v>#DIV/0!</v>
      </c>
      <c r="AD7" s="8" t="e">
        <f>AVERAGEIF('Sales Log'!$T$14:$T$212,AD2,'Sales Log'!$K$14:$K$212)</f>
        <v>#DIV/0!</v>
      </c>
      <c r="AE7" s="8" t="e">
        <f>AVERAGEIF('Sales Log'!$T$14:$T$212,AE2,'Sales Log'!$K$14:$K$212)</f>
        <v>#DIV/0!</v>
      </c>
      <c r="AF7" s="8" t="e">
        <f>AVERAGEIF('Sales Log'!$T$14:$T$212,AF2,'Sales Log'!$K$14:$K$212)</f>
        <v>#DIV/0!</v>
      </c>
      <c r="AG7" s="8" t="e">
        <f>AVERAGEIF('Sales Log'!$T$14:$T$212,AG2,'Sales Log'!$K$14:$K$212)</f>
        <v>#DIV/0!</v>
      </c>
      <c r="AH7" s="8" t="e">
        <f>AVERAGEIF('Sales Log'!$T$14:$T$212,AH2,'Sales Log'!$K$14:$K$212)</f>
        <v>#DIV/0!</v>
      </c>
      <c r="AI7" s="8" t="e">
        <f>AVERAGEIF('Sales Log'!$T$14:$T$212,AI2,'Sales Log'!$K$14:$K$212)</f>
        <v>#DIV/0!</v>
      </c>
      <c r="AJ7" s="8" t="e">
        <f>AVERAGEIF('Sales Log'!$T$14:$T$212,AJ2,'Sales Log'!$K$14:$K$212)</f>
        <v>#DIV/0!</v>
      </c>
      <c r="AK7" s="8" t="e">
        <f>AVERAGEIF('Sales Log'!$T$14:$T$212,AK2,'Sales Log'!$K$14:$K$212)</f>
        <v>#DIV/0!</v>
      </c>
      <c r="AL7" s="8" t="e">
        <f>AVERAGEIF('Sales Log'!$T$14:$T$212,AL2,'Sales Log'!$K$14:$K$212)</f>
        <v>#DIV/0!</v>
      </c>
      <c r="AM7" s="8" t="e">
        <f>AVERAGEIF('Sales Log'!$T$14:$T$212,AM2,'Sales Log'!$K$14:$K$212)</f>
        <v>#DIV/0!</v>
      </c>
      <c r="AN7" s="8" t="e">
        <f>AVERAGEIF('Sales Log'!$T$14:$T$212,AN2,'Sales Log'!$K$14:$K$212)</f>
        <v>#DIV/0!</v>
      </c>
      <c r="AO7" s="8" t="e">
        <f>AVERAGEIF('Sales Log'!$T$14:$T$212,AO2,'Sales Log'!$K$14:$K$212)</f>
        <v>#DIV/0!</v>
      </c>
      <c r="AP7" s="8" t="e">
        <f>AVERAGEIF('Sales Log'!$T$14:$T$212,AP2,'Sales Log'!$K$14:$K$212)</f>
        <v>#DIV/0!</v>
      </c>
      <c r="AQ7" s="8" t="e">
        <f>AVERAGEIF('Sales Log'!$T$14:$T$212,AQ2,'Sales Log'!$K$14:$K$212)</f>
        <v>#DIV/0!</v>
      </c>
      <c r="AR7" s="8" t="e">
        <f>AVERAGEIF('Sales Log'!$T$14:$T$212,AR2,'Sales Log'!$K$14:$K$212)</f>
        <v>#DIV/0!</v>
      </c>
      <c r="AS7" s="8" t="e">
        <f>AVERAGEIF('Sales Log'!$T$14:$T$212,AS2,'Sales Log'!$K$14:$K$212)</f>
        <v>#DIV/0!</v>
      </c>
      <c r="AT7" s="8" t="e">
        <f>AVERAGEIF('Sales Log'!$T$14:$T$212,AT2,'Sales Log'!$K$14:$K$212)</f>
        <v>#DIV/0!</v>
      </c>
      <c r="AU7" s="8" t="e">
        <f>AVERAGEIF('Sales Log'!$T$14:$T$212,AU2,'Sales Log'!$K$14:$K$212)</f>
        <v>#DIV/0!</v>
      </c>
      <c r="AV7" s="8" t="e">
        <f>AVERAGEIF('Sales Log'!$T$14:$T$212,AV2,'Sales Log'!$K$14:$K$212)</f>
        <v>#DIV/0!</v>
      </c>
      <c r="AW7" s="8" t="e">
        <f>AVERAGEIF('Sales Log'!$T$14:$T$212,AW2,'Sales Log'!$K$14:$K$212)</f>
        <v>#DIV/0!</v>
      </c>
      <c r="AX7" s="8" t="e">
        <f>AVERAGEIF('Sales Log'!$T$14:$T$212,AX2,'Sales Log'!$K$14:$K$212)</f>
        <v>#DIV/0!</v>
      </c>
      <c r="AY7" s="8" t="e">
        <f>AVERAGEIF('Sales Log'!$T$14:$T$212,AY2,'Sales Log'!$K$14:$K$212)</f>
        <v>#DIV/0!</v>
      </c>
      <c r="AZ7" s="8" t="e">
        <f>AVERAGEIF('Sales Log'!$T$14:$T$212,AZ2,'Sales Log'!$K$14:$K$212)</f>
        <v>#DIV/0!</v>
      </c>
      <c r="BA7" s="8" t="e">
        <f>AVERAGEIF('Sales Log'!$T$14:$T$212,BA2,'Sales Log'!$K$14:$K$212)</f>
        <v>#DIV/0!</v>
      </c>
      <c r="BB7" s="8" t="e">
        <f>AVERAGEIF('Sales Log'!$T$14:$T$212,BB2,'Sales Log'!$K$14:$K$212)</f>
        <v>#DIV/0!</v>
      </c>
      <c r="BC7" s="8" t="e">
        <f>AVERAGEIF('Sales Log'!$T$14:$T$212,BC2,'Sales Log'!$K$14:$K$212)</f>
        <v>#DIV/0!</v>
      </c>
      <c r="BD7" s="8" t="e">
        <f>AVERAGEIF('Sales Log'!$T$14:$T$212,BD2,'Sales Log'!$K$14:$K$212)</f>
        <v>#DIV/0!</v>
      </c>
      <c r="BE7" s="8" t="e">
        <f>AVERAGEIF('Sales Log'!$T$14:$T$212,BE2,'Sales Log'!$K$14:$K$212)</f>
        <v>#DIV/0!</v>
      </c>
      <c r="BF7" s="8" t="e">
        <f>AVERAGEIF('Sales Log'!$T$14:$T$212,BF2,'Sales Log'!$K$14:$K$212)</f>
        <v>#DIV/0!</v>
      </c>
      <c r="BG7" s="8" t="e">
        <f>AVERAGEIF('Sales Log'!$T$14:$T$212,BG2,'Sales Log'!$K$14:$K$212)</f>
        <v>#DIV/0!</v>
      </c>
      <c r="BH7" s="8" t="e">
        <f>AVERAGEIF('Sales Log'!$T$14:$T$212,BH2,'Sales Log'!$K$14:$K$212)</f>
        <v>#DIV/0!</v>
      </c>
      <c r="BI7" s="8" t="e">
        <f>AVERAGEIF('Sales Log'!$T$14:$T$212,BI2,'Sales Log'!$K$14:$K$212)</f>
        <v>#DIV/0!</v>
      </c>
      <c r="BJ7" s="8" t="e">
        <f>AVERAGEIF('Sales Log'!$T$14:$T$212,BJ2,'Sales Log'!$K$14:$K$212)</f>
        <v>#DIV/0!</v>
      </c>
      <c r="BK7" s="8" t="e">
        <f>AVERAGEIF('Sales Log'!$T$14:$T$212,BK2,'Sales Log'!$K$14:$K$212)</f>
        <v>#DIV/0!</v>
      </c>
    </row>
    <row r="8" spans="1:63" ht="22.5" customHeight="1">
      <c r="A8" s="5" t="s">
        <v>129</v>
      </c>
      <c r="B8" s="8">
        <f>'Sales Log'!$M$213</f>
        <v>27971.831357673447</v>
      </c>
      <c r="C8" s="8">
        <f>AVERAGEIF('Sales Log'!$T$14:$T$212,C2,'Sales Log'!$M$14:$M$212)</f>
        <v>28126.952083797823</v>
      </c>
      <c r="D8" s="8">
        <f>AVERAGEIF('Sales Log'!$T$14:$T$212,D2,'Sales Log'!$M$14:$M$212)</f>
        <v>29916.153888787507</v>
      </c>
      <c r="E8" s="8">
        <f>AVERAGEIF('Sales Log'!$T$14:$T$212,E2,'Sales Log'!$M$14:$M$212)</f>
        <v>25857.957227815226</v>
      </c>
      <c r="F8" s="8">
        <f>AVERAGEIF('Sales Log'!$T$14:$T$212,F2,'Sales Log'!$M$14:$M$212)</f>
        <v>27398.540883421087</v>
      </c>
      <c r="G8" s="8">
        <f>AVERAGEIF('Sales Log'!$T$14:$T$212,G2,'Sales Log'!$M$14:$M$212)</f>
        <v>32307.499198543577</v>
      </c>
      <c r="H8" s="8">
        <f>AVERAGEIF('Sales Log'!$T$14:$T$212,H2,'Sales Log'!$M$14:$M$212)</f>
        <v>24515.589292440709</v>
      </c>
      <c r="I8" s="8">
        <f>AVERAGEIF('Sales Log'!$T$14:$T$212,I2,'Sales Log'!$M$14:$M$212)</f>
        <v>28695.219423303348</v>
      </c>
      <c r="J8" s="8" t="e">
        <f>AVERAGEIF('Sales Log'!$T$14:$T$212,J2,'Sales Log'!$M$14:$M$212)</f>
        <v>#DIV/0!</v>
      </c>
      <c r="K8" s="8" t="e">
        <f>AVERAGEIF('Sales Log'!$T$14:$T$212,K2,'Sales Log'!$M$14:$M$212)</f>
        <v>#DIV/0!</v>
      </c>
      <c r="L8" s="8" t="e">
        <f>AVERAGEIF('Sales Log'!$T$14:$T$212,L2,'Sales Log'!$M$14:$M$212)</f>
        <v>#DIV/0!</v>
      </c>
      <c r="M8" s="8" t="e">
        <f>AVERAGEIF('Sales Log'!$T$14:$T$212,M2,'Sales Log'!$M$14:$M$212)</f>
        <v>#DIV/0!</v>
      </c>
      <c r="N8" s="8" t="e">
        <f>AVERAGEIF('Sales Log'!$T$14:$T$212,N2,'Sales Log'!$M$14:$M$212)</f>
        <v>#DIV/0!</v>
      </c>
      <c r="O8" s="8" t="e">
        <f>AVERAGEIF('Sales Log'!$T$14:$T$212,O2,'Sales Log'!$M$14:$M$212)</f>
        <v>#DIV/0!</v>
      </c>
      <c r="P8" s="8" t="e">
        <f>AVERAGEIF('Sales Log'!$T$14:$T$212,P2,'Sales Log'!$M$14:$M$212)</f>
        <v>#DIV/0!</v>
      </c>
      <c r="Q8" s="8" t="e">
        <f>AVERAGEIF('Sales Log'!$T$14:$T$212,Q2,'Sales Log'!$M$14:$M$212)</f>
        <v>#DIV/0!</v>
      </c>
      <c r="R8" s="8" t="e">
        <f>AVERAGEIF('Sales Log'!$T$14:$T$212,R2,'Sales Log'!$M$14:$M$212)</f>
        <v>#DIV/0!</v>
      </c>
      <c r="S8" s="8" t="e">
        <f>AVERAGEIF('Sales Log'!$T$14:$T$212,S2,'Sales Log'!$M$14:$M$212)</f>
        <v>#DIV/0!</v>
      </c>
      <c r="T8" s="8" t="e">
        <f>AVERAGEIF('Sales Log'!$T$14:$T$212,T2,'Sales Log'!$M$14:$M$212)</f>
        <v>#DIV/0!</v>
      </c>
      <c r="U8" s="8" t="e">
        <f>AVERAGEIF('Sales Log'!$T$14:$T$212,U2,'Sales Log'!$M$14:$M$212)</f>
        <v>#DIV/0!</v>
      </c>
      <c r="V8" s="8" t="e">
        <f>AVERAGEIF('Sales Log'!$T$14:$T$212,V2,'Sales Log'!$M$14:$M$212)</f>
        <v>#DIV/0!</v>
      </c>
      <c r="W8" s="8" t="e">
        <f>AVERAGEIF('Sales Log'!$T$14:$T$212,W2,'Sales Log'!$M$14:$M$212)</f>
        <v>#DIV/0!</v>
      </c>
      <c r="X8" s="8" t="e">
        <f>AVERAGEIF('Sales Log'!$T$14:$T$212,X2,'Sales Log'!$M$14:$M$212)</f>
        <v>#DIV/0!</v>
      </c>
      <c r="Y8" s="8" t="e">
        <f>AVERAGEIF('Sales Log'!$T$14:$T$212,Y2,'Sales Log'!$M$14:$M$212)</f>
        <v>#DIV/0!</v>
      </c>
      <c r="Z8" s="8" t="e">
        <f>AVERAGEIF('Sales Log'!$T$14:$T$212,Z2,'Sales Log'!$M$14:$M$212)</f>
        <v>#DIV/0!</v>
      </c>
      <c r="AA8" s="8" t="e">
        <f>AVERAGEIF('Sales Log'!$T$14:$T$212,AA2,'Sales Log'!$M$14:$M$212)</f>
        <v>#DIV/0!</v>
      </c>
      <c r="AB8" s="8" t="e">
        <f>AVERAGEIF('Sales Log'!$T$14:$T$212,AB2,'Sales Log'!$M$14:$M$212)</f>
        <v>#DIV/0!</v>
      </c>
      <c r="AC8" s="8" t="e">
        <f>AVERAGEIF('Sales Log'!$T$14:$T$212,AC2,'Sales Log'!$M$14:$M$212)</f>
        <v>#DIV/0!</v>
      </c>
      <c r="AD8" s="8" t="e">
        <f>AVERAGEIF('Sales Log'!$T$14:$T$212,AD2,'Sales Log'!$M$14:$M$212)</f>
        <v>#DIV/0!</v>
      </c>
      <c r="AE8" s="8" t="e">
        <f>AVERAGEIF('Sales Log'!$T$14:$T$212,AE2,'Sales Log'!$M$14:$M$212)</f>
        <v>#DIV/0!</v>
      </c>
      <c r="AF8" s="8" t="e">
        <f>AVERAGEIF('Sales Log'!$T$14:$T$212,AF2,'Sales Log'!$M$14:$M$212)</f>
        <v>#DIV/0!</v>
      </c>
      <c r="AG8" s="8" t="e">
        <f>AVERAGEIF('Sales Log'!$T$14:$T$212,AG2,'Sales Log'!$M$14:$M$212)</f>
        <v>#DIV/0!</v>
      </c>
      <c r="AH8" s="8" t="e">
        <f>AVERAGEIF('Sales Log'!$T$14:$T$212,AH2,'Sales Log'!$M$14:$M$212)</f>
        <v>#DIV/0!</v>
      </c>
      <c r="AI8" s="8" t="e">
        <f>AVERAGEIF('Sales Log'!$T$14:$T$212,AI2,'Sales Log'!$M$14:$M$212)</f>
        <v>#DIV/0!</v>
      </c>
      <c r="AJ8" s="8" t="e">
        <f>AVERAGEIF('Sales Log'!$T$14:$T$212,AJ2,'Sales Log'!$M$14:$M$212)</f>
        <v>#DIV/0!</v>
      </c>
      <c r="AK8" s="8" t="e">
        <f>AVERAGEIF('Sales Log'!$T$14:$T$212,AK2,'Sales Log'!$M$14:$M$212)</f>
        <v>#DIV/0!</v>
      </c>
      <c r="AL8" s="8" t="e">
        <f>AVERAGEIF('Sales Log'!$T$14:$T$212,AL2,'Sales Log'!$M$14:$M$212)</f>
        <v>#DIV/0!</v>
      </c>
      <c r="AM8" s="8" t="e">
        <f>AVERAGEIF('Sales Log'!$T$14:$T$212,AM2,'Sales Log'!$M$14:$M$212)</f>
        <v>#DIV/0!</v>
      </c>
      <c r="AN8" s="8" t="e">
        <f>AVERAGEIF('Sales Log'!$T$14:$T$212,AN2,'Sales Log'!$M$14:$M$212)</f>
        <v>#DIV/0!</v>
      </c>
      <c r="AO8" s="8" t="e">
        <f>AVERAGEIF('Sales Log'!$T$14:$T$212,AO2,'Sales Log'!$M$14:$M$212)</f>
        <v>#DIV/0!</v>
      </c>
      <c r="AP8" s="8" t="e">
        <f>AVERAGEIF('Sales Log'!$T$14:$T$212,AP2,'Sales Log'!$M$14:$M$212)</f>
        <v>#DIV/0!</v>
      </c>
      <c r="AQ8" s="8" t="e">
        <f>AVERAGEIF('Sales Log'!$T$14:$T$212,AQ2,'Sales Log'!$M$14:$M$212)</f>
        <v>#DIV/0!</v>
      </c>
      <c r="AR8" s="8" t="e">
        <f>AVERAGEIF('Sales Log'!$T$14:$T$212,AR2,'Sales Log'!$M$14:$M$212)</f>
        <v>#DIV/0!</v>
      </c>
      <c r="AS8" s="8" t="e">
        <f>AVERAGEIF('Sales Log'!$T$14:$T$212,AS2,'Sales Log'!$M$14:$M$212)</f>
        <v>#DIV/0!</v>
      </c>
      <c r="AT8" s="8" t="e">
        <f>AVERAGEIF('Sales Log'!$T$14:$T$212,AT2,'Sales Log'!$M$14:$M$212)</f>
        <v>#DIV/0!</v>
      </c>
      <c r="AU8" s="8" t="e">
        <f>AVERAGEIF('Sales Log'!$T$14:$T$212,AU2,'Sales Log'!$M$14:$M$212)</f>
        <v>#DIV/0!</v>
      </c>
      <c r="AV8" s="8" t="e">
        <f>AVERAGEIF('Sales Log'!$T$14:$T$212,AV2,'Sales Log'!$M$14:$M$212)</f>
        <v>#DIV/0!</v>
      </c>
      <c r="AW8" s="8" t="e">
        <f>AVERAGEIF('Sales Log'!$T$14:$T$212,AW2,'Sales Log'!$M$14:$M$212)</f>
        <v>#DIV/0!</v>
      </c>
      <c r="AX8" s="8" t="e">
        <f>AVERAGEIF('Sales Log'!$T$14:$T$212,AX2,'Sales Log'!$M$14:$M$212)</f>
        <v>#DIV/0!</v>
      </c>
      <c r="AY8" s="8" t="e">
        <f>AVERAGEIF('Sales Log'!$T$14:$T$212,AY2,'Sales Log'!$M$14:$M$212)</f>
        <v>#DIV/0!</v>
      </c>
      <c r="AZ8" s="8" t="e">
        <f>AVERAGEIF('Sales Log'!$T$14:$T$212,AZ2,'Sales Log'!$M$14:$M$212)</f>
        <v>#DIV/0!</v>
      </c>
      <c r="BA8" s="8" t="e">
        <f>AVERAGEIF('Sales Log'!$T$14:$T$212,BA2,'Sales Log'!$M$14:$M$212)</f>
        <v>#DIV/0!</v>
      </c>
      <c r="BB8" s="8" t="e">
        <f>AVERAGEIF('Sales Log'!$T$14:$T$212,BB2,'Sales Log'!$M$14:$M$212)</f>
        <v>#DIV/0!</v>
      </c>
      <c r="BC8" s="8" t="e">
        <f>AVERAGEIF('Sales Log'!$T$14:$T$212,BC2,'Sales Log'!$M$14:$M$212)</f>
        <v>#DIV/0!</v>
      </c>
      <c r="BD8" s="8" t="e">
        <f>AVERAGEIF('Sales Log'!$T$14:$T$212,BD2,'Sales Log'!$M$14:$M$212)</f>
        <v>#DIV/0!</v>
      </c>
      <c r="BE8" s="8" t="e">
        <f>AVERAGEIF('Sales Log'!$T$14:$T$212,BE2,'Sales Log'!$M$14:$M$212)</f>
        <v>#DIV/0!</v>
      </c>
      <c r="BF8" s="8" t="e">
        <f>AVERAGEIF('Sales Log'!$T$14:$T$212,BF2,'Sales Log'!$M$14:$M$212)</f>
        <v>#DIV/0!</v>
      </c>
      <c r="BG8" s="8" t="e">
        <f>AVERAGEIF('Sales Log'!$T$14:$T$212,BG2,'Sales Log'!$M$14:$M$212)</f>
        <v>#DIV/0!</v>
      </c>
      <c r="BH8" s="8" t="e">
        <f>AVERAGEIF('Sales Log'!$T$14:$T$212,BH2,'Sales Log'!$M$14:$M$212)</f>
        <v>#DIV/0!</v>
      </c>
      <c r="BI8" s="8" t="e">
        <f>AVERAGEIF('Sales Log'!$T$14:$T$212,BI2,'Sales Log'!$M$14:$M$212)</f>
        <v>#DIV/0!</v>
      </c>
      <c r="BJ8" s="8" t="e">
        <f>AVERAGEIF('Sales Log'!$T$14:$T$212,BJ2,'Sales Log'!$M$14:$M$212)</f>
        <v>#DIV/0!</v>
      </c>
      <c r="BK8" s="8" t="e">
        <f>AVERAGEIF('Sales Log'!$T$14:$T$212,BK2,'Sales Log'!$M$14:$M$212)</f>
        <v>#DIV/0!</v>
      </c>
    </row>
    <row r="9" spans="1:63" ht="22.5" customHeight="1">
      <c r="A9" s="5" t="s">
        <v>130</v>
      </c>
      <c r="B9" s="9">
        <f>'Sales Log'!L213</f>
        <v>0.99900000000000033</v>
      </c>
      <c r="C9" s="14">
        <f>C6/C8</f>
        <v>0.99880283473256226</v>
      </c>
      <c r="D9" s="14">
        <f t="shared" ref="D9:BK9" si="0">D6/D8</f>
        <v>0.989384456206862</v>
      </c>
      <c r="E9" s="14">
        <f t="shared" si="0"/>
        <v>1.0030135097788606</v>
      </c>
      <c r="F9" s="14">
        <f t="shared" si="0"/>
        <v>0.99360957608751943</v>
      </c>
      <c r="G9" s="14">
        <f t="shared" si="0"/>
        <v>0.98855456416488718</v>
      </c>
      <c r="H9" s="14">
        <f t="shared" si="0"/>
        <v>1.0179398382928084</v>
      </c>
      <c r="I9" s="14">
        <f t="shared" si="0"/>
        <v>0.99206232696474106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131</v>
      </c>
      <c r="B10" s="9">
        <f>'Sales Log'!$N$213</f>
        <v>0.99640807103142714</v>
      </c>
      <c r="C10" s="14">
        <f>C7/C8</f>
        <v>0.99565314925055048</v>
      </c>
      <c r="D10" s="14">
        <f t="shared" ref="D10:BK10" si="1">D7/D8</f>
        <v>0.98805820047439952</v>
      </c>
      <c r="E10" s="14">
        <f t="shared" si="1"/>
        <v>0.9999144048869657</v>
      </c>
      <c r="F10" s="14">
        <f t="shared" si="1"/>
        <v>0.99283160819222604</v>
      </c>
      <c r="G10" s="14">
        <f t="shared" si="1"/>
        <v>0.98855456416488718</v>
      </c>
      <c r="H10" s="14">
        <f t="shared" si="1"/>
        <v>1.0118926656863676</v>
      </c>
      <c r="I10" s="14">
        <f t="shared" si="1"/>
        <v>0.9812887822077293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132</v>
      </c>
      <c r="B11" s="8">
        <f>'Sales Log'!$O$213</f>
        <v>72.501000000000005</v>
      </c>
      <c r="C11" s="8">
        <f>AVERAGEIF('Sales Log'!$T$14:$T$212,C2,'Sales Log'!$O$14:$O$212)</f>
        <v>88.591052631578918</v>
      </c>
      <c r="D11" s="8">
        <f>AVERAGEIF('Sales Log'!$T$14:$T$212,D2,'Sales Log'!$O$14:$O$212)</f>
        <v>39.676470588235297</v>
      </c>
      <c r="E11" s="8">
        <f>AVERAGEIF('Sales Log'!$T$14:$T$212,E2,'Sales Log'!$O$14:$O$212)</f>
        <v>80.136521739130416</v>
      </c>
      <c r="F11" s="8">
        <f>AVERAGEIF('Sales Log'!$T$14:$T$212,F2,'Sales Log'!$O$14:$O$212)</f>
        <v>21.315185185185193</v>
      </c>
      <c r="G11" s="8">
        <f>AVERAGEIF('Sales Log'!$T$14:$T$212,G2,'Sales Log'!$O$14:$O$212)</f>
        <v>0</v>
      </c>
      <c r="H11" s="8">
        <f>AVERAGEIF('Sales Log'!$T$14:$T$212,H2,'Sales Log'!$O$14:$O$212)</f>
        <v>148.25</v>
      </c>
      <c r="I11" s="8">
        <f>AVERAGEIF('Sales Log'!$T$14:$T$212,I2,'Sales Log'!$O$14:$O$212)</f>
        <v>309.14923076923094</v>
      </c>
      <c r="J11" s="8" t="e">
        <f>AVERAGEIF('Sales Log'!$T$14:$T$212,J2,'Sales Log'!$O$14:$O$212)</f>
        <v>#DIV/0!</v>
      </c>
      <c r="K11" s="8" t="e">
        <f>AVERAGEIF('Sales Log'!$T$14:$T$212,K2,'Sales Log'!$O$14:$O$212)</f>
        <v>#DIV/0!</v>
      </c>
      <c r="L11" s="8" t="e">
        <f>AVERAGEIF('Sales Log'!$T$14:$T$212,L2,'Sales Log'!$O$14:$O$212)</f>
        <v>#DIV/0!</v>
      </c>
      <c r="M11" s="8" t="e">
        <f>AVERAGEIF('Sales Log'!$T$14:$T$212,M2,'Sales Log'!$O$14:$O$212)</f>
        <v>#DIV/0!</v>
      </c>
      <c r="N11" s="8" t="e">
        <f>AVERAGEIF('Sales Log'!$T$14:$T$212,N2,'Sales Log'!$O$14:$O$212)</f>
        <v>#DIV/0!</v>
      </c>
      <c r="O11" s="8" t="e">
        <f>AVERAGEIF('Sales Log'!$T$14:$T$212,O2,'Sales Log'!$O$14:$O$212)</f>
        <v>#DIV/0!</v>
      </c>
      <c r="P11" s="8" t="e">
        <f>AVERAGEIF('Sales Log'!$T$14:$T$212,P2,'Sales Log'!$O$14:$O$212)</f>
        <v>#DIV/0!</v>
      </c>
      <c r="Q11" s="8" t="e">
        <f>AVERAGEIF('Sales Log'!$T$14:$T$212,Q2,'Sales Log'!$O$14:$O$212)</f>
        <v>#DIV/0!</v>
      </c>
      <c r="R11" s="8" t="e">
        <f>AVERAGEIF('Sales Log'!$T$14:$T$212,R2,'Sales Log'!$O$14:$O$212)</f>
        <v>#DIV/0!</v>
      </c>
      <c r="S11" s="8" t="e">
        <f>AVERAGEIF('Sales Log'!$T$14:$T$212,S2,'Sales Log'!$O$14:$O$212)</f>
        <v>#DIV/0!</v>
      </c>
      <c r="T11" s="8" t="e">
        <f>AVERAGEIF('Sales Log'!$T$14:$T$212,T2,'Sales Log'!$O$14:$O$212)</f>
        <v>#DIV/0!</v>
      </c>
      <c r="U11" s="8" t="e">
        <f>AVERAGEIF('Sales Log'!$T$14:$T$212,U2,'Sales Log'!$O$14:$O$212)</f>
        <v>#DIV/0!</v>
      </c>
      <c r="V11" s="8" t="e">
        <f>AVERAGEIF('Sales Log'!$T$14:$T$212,V2,'Sales Log'!$O$14:$O$212)</f>
        <v>#DIV/0!</v>
      </c>
      <c r="W11" s="8" t="e">
        <f>AVERAGEIF('Sales Log'!$T$14:$T$212,W2,'Sales Log'!$O$14:$O$212)</f>
        <v>#DIV/0!</v>
      </c>
      <c r="X11" s="8" t="e">
        <f>AVERAGEIF('Sales Log'!$T$14:$T$212,X2,'Sales Log'!$O$14:$O$212)</f>
        <v>#DIV/0!</v>
      </c>
      <c r="Y11" s="8" t="e">
        <f>AVERAGEIF('Sales Log'!$T$14:$T$212,Y2,'Sales Log'!$O$14:$O$212)</f>
        <v>#DIV/0!</v>
      </c>
      <c r="Z11" s="8" t="e">
        <f>AVERAGEIF('Sales Log'!$T$14:$T$212,Z2,'Sales Log'!$O$14:$O$212)</f>
        <v>#DIV/0!</v>
      </c>
      <c r="AA11" s="8" t="e">
        <f>AVERAGEIF('Sales Log'!$T$14:$T$212,AA2,'Sales Log'!$O$14:$O$212)</f>
        <v>#DIV/0!</v>
      </c>
      <c r="AB11" s="8" t="e">
        <f>AVERAGEIF('Sales Log'!$T$14:$T$212,AB2,'Sales Log'!$O$14:$O$212)</f>
        <v>#DIV/0!</v>
      </c>
      <c r="AC11" s="8" t="e">
        <f>AVERAGEIF('Sales Log'!$T$14:$T$212,AC2,'Sales Log'!$O$14:$O$212)</f>
        <v>#DIV/0!</v>
      </c>
      <c r="AD11" s="8" t="e">
        <f>AVERAGEIF('Sales Log'!$T$14:$T$212,AD2,'Sales Log'!$O$14:$O$212)</f>
        <v>#DIV/0!</v>
      </c>
      <c r="AE11" s="8" t="e">
        <f>AVERAGEIF('Sales Log'!$T$14:$T$212,AE2,'Sales Log'!$O$14:$O$212)</f>
        <v>#DIV/0!</v>
      </c>
      <c r="AF11" s="8" t="e">
        <f>AVERAGEIF('Sales Log'!$T$14:$T$212,AF2,'Sales Log'!$O$14:$O$212)</f>
        <v>#DIV/0!</v>
      </c>
      <c r="AG11" s="8" t="e">
        <f>AVERAGEIF('Sales Log'!$T$14:$T$212,AG2,'Sales Log'!$O$14:$O$212)</f>
        <v>#DIV/0!</v>
      </c>
      <c r="AH11" s="8" t="e">
        <f>AVERAGEIF('Sales Log'!$T$14:$T$212,AH2,'Sales Log'!$O$14:$O$212)</f>
        <v>#DIV/0!</v>
      </c>
      <c r="AI11" s="8" t="e">
        <f>AVERAGEIF('Sales Log'!$T$14:$T$212,AI2,'Sales Log'!$O$14:$O$212)</f>
        <v>#DIV/0!</v>
      </c>
      <c r="AJ11" s="8" t="e">
        <f>AVERAGEIF('Sales Log'!$T$14:$T$212,AJ2,'Sales Log'!$O$14:$O$212)</f>
        <v>#DIV/0!</v>
      </c>
      <c r="AK11" s="8" t="e">
        <f>AVERAGEIF('Sales Log'!$T$14:$T$212,AK2,'Sales Log'!$O$14:$O$212)</f>
        <v>#DIV/0!</v>
      </c>
      <c r="AL11" s="8" t="e">
        <f>AVERAGEIF('Sales Log'!$T$14:$T$212,AL2,'Sales Log'!$O$14:$O$212)</f>
        <v>#DIV/0!</v>
      </c>
      <c r="AM11" s="8" t="e">
        <f>AVERAGEIF('Sales Log'!$T$14:$T$212,AM2,'Sales Log'!$O$14:$O$212)</f>
        <v>#DIV/0!</v>
      </c>
      <c r="AN11" s="8" t="e">
        <f>AVERAGEIF('Sales Log'!$T$14:$T$212,AN2,'Sales Log'!$O$14:$O$212)</f>
        <v>#DIV/0!</v>
      </c>
      <c r="AO11" s="8" t="e">
        <f>AVERAGEIF('Sales Log'!$T$14:$T$212,AO2,'Sales Log'!$O$14:$O$212)</f>
        <v>#DIV/0!</v>
      </c>
      <c r="AP11" s="8" t="e">
        <f>AVERAGEIF('Sales Log'!$T$14:$T$212,AP2,'Sales Log'!$O$14:$O$212)</f>
        <v>#DIV/0!</v>
      </c>
      <c r="AQ11" s="8" t="e">
        <f>AVERAGEIF('Sales Log'!$T$14:$T$212,AQ2,'Sales Log'!$O$14:$O$212)</f>
        <v>#DIV/0!</v>
      </c>
      <c r="AR11" s="8" t="e">
        <f>AVERAGEIF('Sales Log'!$T$14:$T$212,AR2,'Sales Log'!$O$14:$O$212)</f>
        <v>#DIV/0!</v>
      </c>
      <c r="AS11" s="8" t="e">
        <f>AVERAGEIF('Sales Log'!$T$14:$T$212,AS2,'Sales Log'!$O$14:$O$212)</f>
        <v>#DIV/0!</v>
      </c>
      <c r="AT11" s="8" t="e">
        <f>AVERAGEIF('Sales Log'!$T$14:$T$212,AT2,'Sales Log'!$O$14:$O$212)</f>
        <v>#DIV/0!</v>
      </c>
      <c r="AU11" s="8" t="e">
        <f>AVERAGEIF('Sales Log'!$T$14:$T$212,AU2,'Sales Log'!$O$14:$O$212)</f>
        <v>#DIV/0!</v>
      </c>
      <c r="AV11" s="8" t="e">
        <f>AVERAGEIF('Sales Log'!$T$14:$T$212,AV2,'Sales Log'!$O$14:$O$212)</f>
        <v>#DIV/0!</v>
      </c>
      <c r="AW11" s="8" t="e">
        <f>AVERAGEIF('Sales Log'!$T$14:$T$212,AW2,'Sales Log'!$O$14:$O$212)</f>
        <v>#DIV/0!</v>
      </c>
      <c r="AX11" s="8" t="e">
        <f>AVERAGEIF('Sales Log'!$T$14:$T$212,AX2,'Sales Log'!$O$14:$O$212)</f>
        <v>#DIV/0!</v>
      </c>
      <c r="AY11" s="8" t="e">
        <f>AVERAGEIF('Sales Log'!$T$14:$T$212,AY2,'Sales Log'!$O$14:$O$212)</f>
        <v>#DIV/0!</v>
      </c>
      <c r="AZ11" s="8" t="e">
        <f>AVERAGEIF('Sales Log'!$T$14:$T$212,AZ2,'Sales Log'!$O$14:$O$212)</f>
        <v>#DIV/0!</v>
      </c>
      <c r="BA11" s="8" t="e">
        <f>AVERAGEIF('Sales Log'!$T$14:$T$212,BA2,'Sales Log'!$O$14:$O$212)</f>
        <v>#DIV/0!</v>
      </c>
      <c r="BB11" s="8" t="e">
        <f>AVERAGEIF('Sales Log'!$T$14:$T$212,BB2,'Sales Log'!$O$14:$O$212)</f>
        <v>#DIV/0!</v>
      </c>
      <c r="BC11" s="8" t="e">
        <f>AVERAGEIF('Sales Log'!$T$14:$T$212,BC2,'Sales Log'!$O$14:$O$212)</f>
        <v>#DIV/0!</v>
      </c>
      <c r="BD11" s="8" t="e">
        <f>AVERAGEIF('Sales Log'!$T$14:$T$212,BD2,'Sales Log'!$O$14:$O$212)</f>
        <v>#DIV/0!</v>
      </c>
      <c r="BE11" s="8" t="e">
        <f>AVERAGEIF('Sales Log'!$T$14:$T$212,BE2,'Sales Log'!$O$14:$O$212)</f>
        <v>#DIV/0!</v>
      </c>
      <c r="BF11" s="8" t="e">
        <f>AVERAGEIF('Sales Log'!$T$14:$T$212,BF2,'Sales Log'!$O$14:$O$212)</f>
        <v>#DIV/0!</v>
      </c>
      <c r="BG11" s="8" t="e">
        <f>AVERAGEIF('Sales Log'!$T$14:$T$212,BG2,'Sales Log'!$O$14:$O$212)</f>
        <v>#DIV/0!</v>
      </c>
      <c r="BH11" s="8" t="e">
        <f>AVERAGEIF('Sales Log'!$T$14:$T$212,BH2,'Sales Log'!$O$14:$O$212)</f>
        <v>#DIV/0!</v>
      </c>
      <c r="BI11" s="8" t="e">
        <f>AVERAGEIF('Sales Log'!$T$14:$T$212,BI2,'Sales Log'!$O$14:$O$212)</f>
        <v>#DIV/0!</v>
      </c>
      <c r="BJ11" s="8" t="e">
        <f>AVERAGEIF('Sales Log'!$T$14:$T$212,BJ2,'Sales Log'!$O$14:$O$212)</f>
        <v>#DIV/0!</v>
      </c>
      <c r="BK11" s="8" t="e">
        <f>AVERAGEIF('Sales Log'!$T$14:$T$212,BK2,'Sales Log'!$O$14:$O$212)</f>
        <v>#DIV/0!</v>
      </c>
    </row>
    <row r="12" spans="1:63" ht="22.5" customHeight="1">
      <c r="A12" s="5" t="s">
        <v>133</v>
      </c>
      <c r="B12" s="8">
        <f>'Sales Log'!$P$213</f>
        <v>3386.0526842105269</v>
      </c>
      <c r="C12" s="8">
        <f>AVERAGEIF('Sales Log'!$T$14:$T$212,C2,'Sales Log'!$P$14:$P$212)</f>
        <v>3746.754736842106</v>
      </c>
      <c r="D12" s="8">
        <f>AVERAGEIF('Sales Log'!$T$14:$T$212,D2,'Sales Log'!$P$14:$P$212)</f>
        <v>2689.3485294117645</v>
      </c>
      <c r="E12" s="8">
        <f>AVERAGEIF('Sales Log'!$T$14:$T$212,E2,'Sales Log'!$P$14:$P$212)</f>
        <v>3918.7021739130432</v>
      </c>
      <c r="F12" s="8">
        <f>AVERAGEIF('Sales Log'!$T$14:$T$212,F2,'Sales Log'!$P$14:$P$212)</f>
        <v>2967.8151851851849</v>
      </c>
      <c r="G12" s="8">
        <f>AVERAGEIF('Sales Log'!$T$14:$T$212,G2,'Sales Log'!$P$14:$P$212)</f>
        <v>3967.5905263157897</v>
      </c>
      <c r="H12" s="8">
        <f>AVERAGEIF('Sales Log'!$T$14:$T$212,H2,'Sales Log'!$P$14:$P$212)</f>
        <v>3135.2525000000005</v>
      </c>
      <c r="I12" s="8">
        <f>AVERAGEIF('Sales Log'!$T$14:$T$212,I2,'Sales Log'!$P$14:$P$212)</f>
        <v>2384.9861538461541</v>
      </c>
      <c r="J12" s="8" t="e">
        <f>AVERAGEIF('Sales Log'!$T$14:$T$212,J2,'Sales Log'!$P$14:$P$212)</f>
        <v>#DIV/0!</v>
      </c>
      <c r="K12" s="8" t="e">
        <f>AVERAGEIF('Sales Log'!$T$14:$T$212,K2,'Sales Log'!$P$14:$P$212)</f>
        <v>#DIV/0!</v>
      </c>
      <c r="L12" s="8" t="e">
        <f>AVERAGEIF('Sales Log'!$T$14:$T$212,L2,'Sales Log'!$P$14:$P$212)</f>
        <v>#DIV/0!</v>
      </c>
      <c r="M12" s="8" t="e">
        <f>AVERAGEIF('Sales Log'!$T$14:$T$212,M2,'Sales Log'!$P$14:$P$212)</f>
        <v>#DIV/0!</v>
      </c>
      <c r="N12" s="8" t="e">
        <f>AVERAGEIF('Sales Log'!$T$14:$T$212,N2,'Sales Log'!$P$14:$P$212)</f>
        <v>#DIV/0!</v>
      </c>
      <c r="O12" s="8" t="e">
        <f>AVERAGEIF('Sales Log'!$T$14:$T$212,O2,'Sales Log'!$P$14:$P$212)</f>
        <v>#DIV/0!</v>
      </c>
      <c r="P12" s="8" t="e">
        <f>AVERAGEIF('Sales Log'!$T$14:$T$212,P2,'Sales Log'!$P$14:$P$212)</f>
        <v>#DIV/0!</v>
      </c>
      <c r="Q12" s="8" t="e">
        <f>AVERAGEIF('Sales Log'!$T$14:$T$212,Q2,'Sales Log'!$P$14:$P$212)</f>
        <v>#DIV/0!</v>
      </c>
      <c r="R12" s="8" t="e">
        <f>AVERAGEIF('Sales Log'!$T$14:$T$212,R2,'Sales Log'!$P$14:$P$212)</f>
        <v>#DIV/0!</v>
      </c>
      <c r="S12" s="8" t="e">
        <f>AVERAGEIF('Sales Log'!$T$14:$T$212,S2,'Sales Log'!$P$14:$P$212)</f>
        <v>#DIV/0!</v>
      </c>
      <c r="T12" s="8" t="e">
        <f>AVERAGEIF('Sales Log'!$T$14:$T$212,T2,'Sales Log'!$P$14:$P$212)</f>
        <v>#DIV/0!</v>
      </c>
      <c r="U12" s="8" t="e">
        <f>AVERAGEIF('Sales Log'!$T$14:$T$212,U2,'Sales Log'!$P$14:$P$212)</f>
        <v>#DIV/0!</v>
      </c>
      <c r="V12" s="8" t="e">
        <f>AVERAGEIF('Sales Log'!$T$14:$T$212,V2,'Sales Log'!$P$14:$P$212)</f>
        <v>#DIV/0!</v>
      </c>
      <c r="W12" s="8" t="e">
        <f>AVERAGEIF('Sales Log'!$T$14:$T$212,W2,'Sales Log'!$P$14:$P$212)</f>
        <v>#DIV/0!</v>
      </c>
      <c r="X12" s="8" t="e">
        <f>AVERAGEIF('Sales Log'!$T$14:$T$212,X2,'Sales Log'!$P$14:$P$212)</f>
        <v>#DIV/0!</v>
      </c>
      <c r="Y12" s="8" t="e">
        <f>AVERAGEIF('Sales Log'!$T$14:$T$212,Y2,'Sales Log'!$P$14:$P$212)</f>
        <v>#DIV/0!</v>
      </c>
      <c r="Z12" s="8" t="e">
        <f>AVERAGEIF('Sales Log'!$T$14:$T$212,Z2,'Sales Log'!$P$14:$P$212)</f>
        <v>#DIV/0!</v>
      </c>
      <c r="AA12" s="8" t="e">
        <f>AVERAGEIF('Sales Log'!$T$14:$T$212,AA2,'Sales Log'!$P$14:$P$212)</f>
        <v>#DIV/0!</v>
      </c>
      <c r="AB12" s="8" t="e">
        <f>AVERAGEIF('Sales Log'!$T$14:$T$212,AB2,'Sales Log'!$P$14:$P$212)</f>
        <v>#DIV/0!</v>
      </c>
      <c r="AC12" s="8" t="e">
        <f>AVERAGEIF('Sales Log'!$T$14:$T$212,AC2,'Sales Log'!$P$14:$P$212)</f>
        <v>#DIV/0!</v>
      </c>
      <c r="AD12" s="8" t="e">
        <f>AVERAGEIF('Sales Log'!$T$14:$T$212,AD2,'Sales Log'!$P$14:$P$212)</f>
        <v>#DIV/0!</v>
      </c>
      <c r="AE12" s="8" t="e">
        <f>AVERAGEIF('Sales Log'!$T$14:$T$212,AE2,'Sales Log'!$P$14:$P$212)</f>
        <v>#DIV/0!</v>
      </c>
      <c r="AF12" s="8" t="e">
        <f>AVERAGEIF('Sales Log'!$T$14:$T$212,AF2,'Sales Log'!$P$14:$P$212)</f>
        <v>#DIV/0!</v>
      </c>
      <c r="AG12" s="8" t="e">
        <f>AVERAGEIF('Sales Log'!$T$14:$T$212,AG2,'Sales Log'!$P$14:$P$212)</f>
        <v>#DIV/0!</v>
      </c>
      <c r="AH12" s="8" t="e">
        <f>AVERAGEIF('Sales Log'!$T$14:$T$212,AH2,'Sales Log'!$P$14:$P$212)</f>
        <v>#DIV/0!</v>
      </c>
      <c r="AI12" s="8" t="e">
        <f>AVERAGEIF('Sales Log'!$T$14:$T$212,AI2,'Sales Log'!$P$14:$P$212)</f>
        <v>#DIV/0!</v>
      </c>
      <c r="AJ12" s="8" t="e">
        <f>AVERAGEIF('Sales Log'!$T$14:$T$212,AJ2,'Sales Log'!$P$14:$P$212)</f>
        <v>#DIV/0!</v>
      </c>
      <c r="AK12" s="8" t="e">
        <f>AVERAGEIF('Sales Log'!$T$14:$T$212,AK2,'Sales Log'!$P$14:$P$212)</f>
        <v>#DIV/0!</v>
      </c>
      <c r="AL12" s="8" t="e">
        <f>AVERAGEIF('Sales Log'!$T$14:$T$212,AL2,'Sales Log'!$P$14:$P$212)</f>
        <v>#DIV/0!</v>
      </c>
      <c r="AM12" s="8" t="e">
        <f>AVERAGEIF('Sales Log'!$T$14:$T$212,AM2,'Sales Log'!$P$14:$P$212)</f>
        <v>#DIV/0!</v>
      </c>
      <c r="AN12" s="8" t="e">
        <f>AVERAGEIF('Sales Log'!$T$14:$T$212,AN2,'Sales Log'!$P$14:$P$212)</f>
        <v>#DIV/0!</v>
      </c>
      <c r="AO12" s="8" t="e">
        <f>AVERAGEIF('Sales Log'!$T$14:$T$212,AO2,'Sales Log'!$P$14:$P$212)</f>
        <v>#DIV/0!</v>
      </c>
      <c r="AP12" s="8" t="e">
        <f>AVERAGEIF('Sales Log'!$T$14:$T$212,AP2,'Sales Log'!$P$14:$P$212)</f>
        <v>#DIV/0!</v>
      </c>
      <c r="AQ12" s="8" t="e">
        <f>AVERAGEIF('Sales Log'!$T$14:$T$212,AQ2,'Sales Log'!$P$14:$P$212)</f>
        <v>#DIV/0!</v>
      </c>
      <c r="AR12" s="8" t="e">
        <f>AVERAGEIF('Sales Log'!$T$14:$T$212,AR2,'Sales Log'!$P$14:$P$212)</f>
        <v>#DIV/0!</v>
      </c>
      <c r="AS12" s="8" t="e">
        <f>AVERAGEIF('Sales Log'!$T$14:$T$212,AS2,'Sales Log'!$P$14:$P$212)</f>
        <v>#DIV/0!</v>
      </c>
      <c r="AT12" s="8" t="e">
        <f>AVERAGEIF('Sales Log'!$T$14:$T$212,AT2,'Sales Log'!$P$14:$P$212)</f>
        <v>#DIV/0!</v>
      </c>
      <c r="AU12" s="8" t="e">
        <f>AVERAGEIF('Sales Log'!$T$14:$T$212,AU2,'Sales Log'!$P$14:$P$212)</f>
        <v>#DIV/0!</v>
      </c>
      <c r="AV12" s="8" t="e">
        <f>AVERAGEIF('Sales Log'!$T$14:$T$212,AV2,'Sales Log'!$P$14:$P$212)</f>
        <v>#DIV/0!</v>
      </c>
      <c r="AW12" s="8" t="e">
        <f>AVERAGEIF('Sales Log'!$T$14:$T$212,AW2,'Sales Log'!$P$14:$P$212)</f>
        <v>#DIV/0!</v>
      </c>
      <c r="AX12" s="8" t="e">
        <f>AVERAGEIF('Sales Log'!$T$14:$T$212,AX2,'Sales Log'!$P$14:$P$212)</f>
        <v>#DIV/0!</v>
      </c>
      <c r="AY12" s="8" t="e">
        <f>AVERAGEIF('Sales Log'!$T$14:$T$212,AY2,'Sales Log'!$P$14:$P$212)</f>
        <v>#DIV/0!</v>
      </c>
      <c r="AZ12" s="8" t="e">
        <f>AVERAGEIF('Sales Log'!$T$14:$T$212,AZ2,'Sales Log'!$P$14:$P$212)</f>
        <v>#DIV/0!</v>
      </c>
      <c r="BA12" s="8" t="e">
        <f>AVERAGEIF('Sales Log'!$T$14:$T$212,BA2,'Sales Log'!$P$14:$P$212)</f>
        <v>#DIV/0!</v>
      </c>
      <c r="BB12" s="8" t="e">
        <f>AVERAGEIF('Sales Log'!$T$14:$T$212,BB2,'Sales Log'!$P$14:$P$212)</f>
        <v>#DIV/0!</v>
      </c>
      <c r="BC12" s="8" t="e">
        <f>AVERAGEIF('Sales Log'!$T$14:$T$212,BC2,'Sales Log'!$P$14:$P$212)</f>
        <v>#DIV/0!</v>
      </c>
      <c r="BD12" s="8" t="e">
        <f>AVERAGEIF('Sales Log'!$T$14:$T$212,BD2,'Sales Log'!$P$14:$P$212)</f>
        <v>#DIV/0!</v>
      </c>
      <c r="BE12" s="8" t="e">
        <f>AVERAGEIF('Sales Log'!$T$14:$T$212,BE2,'Sales Log'!$P$14:$P$212)</f>
        <v>#DIV/0!</v>
      </c>
      <c r="BF12" s="8" t="e">
        <f>AVERAGEIF('Sales Log'!$T$14:$T$212,BF2,'Sales Log'!$P$14:$P$212)</f>
        <v>#DIV/0!</v>
      </c>
      <c r="BG12" s="8" t="e">
        <f>AVERAGEIF('Sales Log'!$T$14:$T$212,BG2,'Sales Log'!$P$14:$P$212)</f>
        <v>#DIV/0!</v>
      </c>
      <c r="BH12" s="8" t="e">
        <f>AVERAGEIF('Sales Log'!$T$14:$T$212,BH2,'Sales Log'!$P$14:$P$212)</f>
        <v>#DIV/0!</v>
      </c>
      <c r="BI12" s="8" t="e">
        <f>AVERAGEIF('Sales Log'!$T$14:$T$212,BI2,'Sales Log'!$P$14:$P$212)</f>
        <v>#DIV/0!</v>
      </c>
      <c r="BJ12" s="8" t="e">
        <f>AVERAGEIF('Sales Log'!$T$14:$T$212,BJ2,'Sales Log'!$P$14:$P$212)</f>
        <v>#DIV/0!</v>
      </c>
      <c r="BK12" s="8" t="e">
        <f>AVERAGEIF('Sales Log'!$T$14:$T$212,BK2,'Sales Log'!$P$14:$P$212)</f>
        <v>#DIV/0!</v>
      </c>
    </row>
    <row r="13" spans="1:63" ht="22.5" customHeight="1">
      <c r="A13" s="5" t="s">
        <v>134</v>
      </c>
      <c r="B13" s="8">
        <f>'Sales Log'!$Q$213</f>
        <v>2496.6004574468079</v>
      </c>
      <c r="C13" s="8">
        <f>AVERAGEIF('Sales Log'!$T$14:$T$212,C2,'Sales Log'!$Q$14:$Q$212)</f>
        <v>1589.433</v>
      </c>
      <c r="D13" s="8">
        <f>AVERAGEIF('Sales Log'!$T$14:$T$212,D2,'Sales Log'!$Q$14:$Q$212)</f>
        <v>2452.3585294117638</v>
      </c>
      <c r="E13" s="8">
        <f>AVERAGEIF('Sales Log'!$T$14:$T$212,E2,'Sales Log'!$Q$14:$Q$212)</f>
        <v>2886.3504444444434</v>
      </c>
      <c r="F13" s="8">
        <f>AVERAGEIF('Sales Log'!$T$14:$T$212,F2,'Sales Log'!$Q$14:$Q$212)</f>
        <v>3162.2655555555561</v>
      </c>
      <c r="G13" s="8">
        <f>AVERAGEIF('Sales Log'!$T$14:$T$212,G2,'Sales Log'!$Q$14:$Q$212)</f>
        <v>2308.1547368421052</v>
      </c>
      <c r="H13" s="8">
        <f>AVERAGEIF('Sales Log'!$T$14:$T$212,H2,'Sales Log'!$Q$14:$Q$212)</f>
        <v>2748.2618181818179</v>
      </c>
      <c r="I13" s="8">
        <f>AVERAGEIF('Sales Log'!$T$14:$T$212,I2,'Sales Log'!$Q$14:$Q$212)</f>
        <v>2109.5016923076919</v>
      </c>
      <c r="J13" s="8" t="e">
        <f>AVERAGEIF('Sales Log'!$T$14:$T$212,J2,'Sales Log'!$Q$14:$Q$212)</f>
        <v>#DIV/0!</v>
      </c>
      <c r="K13" s="8" t="e">
        <f>AVERAGEIF('Sales Log'!$T$14:$T$212,K2,'Sales Log'!$Q$14:$Q$212)</f>
        <v>#DIV/0!</v>
      </c>
      <c r="L13" s="8" t="e">
        <f>AVERAGEIF('Sales Log'!$T$14:$T$212,L2,'Sales Log'!$Q$14:$Q$212)</f>
        <v>#DIV/0!</v>
      </c>
      <c r="M13" s="8" t="e">
        <f>AVERAGEIF('Sales Log'!$T$14:$T$212,M2,'Sales Log'!$Q$14:$Q$212)</f>
        <v>#DIV/0!</v>
      </c>
      <c r="N13" s="8" t="e">
        <f>AVERAGEIF('Sales Log'!$T$14:$T$212,N2,'Sales Log'!$Q$14:$Q$212)</f>
        <v>#DIV/0!</v>
      </c>
      <c r="O13" s="8" t="e">
        <f>AVERAGEIF('Sales Log'!$T$14:$T$212,O2,'Sales Log'!$Q$14:$Q$212)</f>
        <v>#DIV/0!</v>
      </c>
      <c r="P13" s="8" t="e">
        <f>AVERAGEIF('Sales Log'!$T$14:$T$212,P2,'Sales Log'!$Q$14:$Q$212)</f>
        <v>#DIV/0!</v>
      </c>
      <c r="Q13" s="8" t="e">
        <f>AVERAGEIF('Sales Log'!$T$14:$T$212,Q2,'Sales Log'!$Q$14:$Q$212)</f>
        <v>#DIV/0!</v>
      </c>
      <c r="R13" s="8" t="e">
        <f>AVERAGEIF('Sales Log'!$T$14:$T$212,R2,'Sales Log'!$Q$14:$Q$212)</f>
        <v>#DIV/0!</v>
      </c>
      <c r="S13" s="8" t="e">
        <f>AVERAGEIF('Sales Log'!$T$14:$T$212,S2,'Sales Log'!$Q$14:$Q$212)</f>
        <v>#DIV/0!</v>
      </c>
      <c r="T13" s="8" t="e">
        <f>AVERAGEIF('Sales Log'!$T$14:$T$212,T2,'Sales Log'!$Q$14:$Q$212)</f>
        <v>#DIV/0!</v>
      </c>
      <c r="U13" s="8" t="e">
        <f>AVERAGEIF('Sales Log'!$T$14:$T$212,U2,'Sales Log'!$Q$14:$Q$212)</f>
        <v>#DIV/0!</v>
      </c>
      <c r="V13" s="8" t="e">
        <f>AVERAGEIF('Sales Log'!$T$14:$T$212,V2,'Sales Log'!$Q$14:$Q$212)</f>
        <v>#DIV/0!</v>
      </c>
      <c r="W13" s="8" t="e">
        <f>AVERAGEIF('Sales Log'!$T$14:$T$212,W2,'Sales Log'!$Q$14:$Q$212)</f>
        <v>#DIV/0!</v>
      </c>
      <c r="X13" s="8" t="e">
        <f>AVERAGEIF('Sales Log'!$T$14:$T$212,X2,'Sales Log'!$Q$14:$Q$212)</f>
        <v>#DIV/0!</v>
      </c>
      <c r="Y13" s="8" t="e">
        <f>AVERAGEIF('Sales Log'!$T$14:$T$212,Y2,'Sales Log'!$Q$14:$Q$212)</f>
        <v>#DIV/0!</v>
      </c>
      <c r="Z13" s="8" t="e">
        <f>AVERAGEIF('Sales Log'!$T$14:$T$212,Z2,'Sales Log'!$Q$14:$Q$212)</f>
        <v>#DIV/0!</v>
      </c>
      <c r="AA13" s="8" t="e">
        <f>AVERAGEIF('Sales Log'!$T$14:$T$212,AA2,'Sales Log'!$Q$14:$Q$212)</f>
        <v>#DIV/0!</v>
      </c>
      <c r="AB13" s="8" t="e">
        <f>AVERAGEIF('Sales Log'!$T$14:$T$212,AB2,'Sales Log'!$Q$14:$Q$212)</f>
        <v>#DIV/0!</v>
      </c>
      <c r="AC13" s="8" t="e">
        <f>AVERAGEIF('Sales Log'!$T$14:$T$212,AC2,'Sales Log'!$Q$14:$Q$212)</f>
        <v>#DIV/0!</v>
      </c>
      <c r="AD13" s="8" t="e">
        <f>AVERAGEIF('Sales Log'!$T$14:$T$212,AD2,'Sales Log'!$Q$14:$Q$212)</f>
        <v>#DIV/0!</v>
      </c>
      <c r="AE13" s="8" t="e">
        <f>AVERAGEIF('Sales Log'!$T$14:$T$212,AE2,'Sales Log'!$Q$14:$Q$212)</f>
        <v>#DIV/0!</v>
      </c>
      <c r="AF13" s="8" t="e">
        <f>AVERAGEIF('Sales Log'!$T$14:$T$212,AF2,'Sales Log'!$Q$14:$Q$212)</f>
        <v>#DIV/0!</v>
      </c>
      <c r="AG13" s="8" t="e">
        <f>AVERAGEIF('Sales Log'!$T$14:$T$212,AG2,'Sales Log'!$Q$14:$Q$212)</f>
        <v>#DIV/0!</v>
      </c>
      <c r="AH13" s="8" t="e">
        <f>AVERAGEIF('Sales Log'!$T$14:$T$212,AH2,'Sales Log'!$Q$14:$Q$212)</f>
        <v>#DIV/0!</v>
      </c>
      <c r="AI13" s="8" t="e">
        <f>AVERAGEIF('Sales Log'!$T$14:$T$212,AI2,'Sales Log'!$Q$14:$Q$212)</f>
        <v>#DIV/0!</v>
      </c>
      <c r="AJ13" s="8" t="e">
        <f>AVERAGEIF('Sales Log'!$T$14:$T$212,AJ2,'Sales Log'!$Q$14:$Q$212)</f>
        <v>#DIV/0!</v>
      </c>
      <c r="AK13" s="8" t="e">
        <f>AVERAGEIF('Sales Log'!$T$14:$T$212,AK2,'Sales Log'!$Q$14:$Q$212)</f>
        <v>#DIV/0!</v>
      </c>
      <c r="AL13" s="8" t="e">
        <f>AVERAGEIF('Sales Log'!$T$14:$T$212,AL2,'Sales Log'!$Q$14:$Q$212)</f>
        <v>#DIV/0!</v>
      </c>
      <c r="AM13" s="8" t="e">
        <f>AVERAGEIF('Sales Log'!$T$14:$T$212,AM2,'Sales Log'!$Q$14:$Q$212)</f>
        <v>#DIV/0!</v>
      </c>
      <c r="AN13" s="8" t="e">
        <f>AVERAGEIF('Sales Log'!$T$14:$T$212,AN2,'Sales Log'!$Q$14:$Q$212)</f>
        <v>#DIV/0!</v>
      </c>
      <c r="AO13" s="8" t="e">
        <f>AVERAGEIF('Sales Log'!$T$14:$T$212,AO2,'Sales Log'!$Q$14:$Q$212)</f>
        <v>#DIV/0!</v>
      </c>
      <c r="AP13" s="8" t="e">
        <f>AVERAGEIF('Sales Log'!$T$14:$T$212,AP2,'Sales Log'!$Q$14:$Q$212)</f>
        <v>#DIV/0!</v>
      </c>
      <c r="AQ13" s="8" t="e">
        <f>AVERAGEIF('Sales Log'!$T$14:$T$212,AQ2,'Sales Log'!$Q$14:$Q$212)</f>
        <v>#DIV/0!</v>
      </c>
      <c r="AR13" s="8" t="e">
        <f>AVERAGEIF('Sales Log'!$T$14:$T$212,AR2,'Sales Log'!$Q$14:$Q$212)</f>
        <v>#DIV/0!</v>
      </c>
      <c r="AS13" s="8" t="e">
        <f>AVERAGEIF('Sales Log'!$T$14:$T$212,AS2,'Sales Log'!$Q$14:$Q$212)</f>
        <v>#DIV/0!</v>
      </c>
      <c r="AT13" s="8" t="e">
        <f>AVERAGEIF('Sales Log'!$T$14:$T$212,AT2,'Sales Log'!$Q$14:$Q$212)</f>
        <v>#DIV/0!</v>
      </c>
      <c r="AU13" s="8" t="e">
        <f>AVERAGEIF('Sales Log'!$T$14:$T$212,AU2,'Sales Log'!$Q$14:$Q$212)</f>
        <v>#DIV/0!</v>
      </c>
      <c r="AV13" s="8" t="e">
        <f>AVERAGEIF('Sales Log'!$T$14:$T$212,AV2,'Sales Log'!$Q$14:$Q$212)</f>
        <v>#DIV/0!</v>
      </c>
      <c r="AW13" s="8" t="e">
        <f>AVERAGEIF('Sales Log'!$T$14:$T$212,AW2,'Sales Log'!$Q$14:$Q$212)</f>
        <v>#DIV/0!</v>
      </c>
      <c r="AX13" s="8" t="e">
        <f>AVERAGEIF('Sales Log'!$T$14:$T$212,AX2,'Sales Log'!$Q$14:$Q$212)</f>
        <v>#DIV/0!</v>
      </c>
      <c r="AY13" s="8" t="e">
        <f>AVERAGEIF('Sales Log'!$T$14:$T$212,AY2,'Sales Log'!$Q$14:$Q$212)</f>
        <v>#DIV/0!</v>
      </c>
      <c r="AZ13" s="8" t="e">
        <f>AVERAGEIF('Sales Log'!$T$14:$T$212,AZ2,'Sales Log'!$Q$14:$Q$212)</f>
        <v>#DIV/0!</v>
      </c>
      <c r="BA13" s="8" t="e">
        <f>AVERAGEIF('Sales Log'!$T$14:$T$212,BA2,'Sales Log'!$Q$14:$Q$212)</f>
        <v>#DIV/0!</v>
      </c>
      <c r="BB13" s="8" t="e">
        <f>AVERAGEIF('Sales Log'!$T$14:$T$212,BB2,'Sales Log'!$Q$14:$Q$212)</f>
        <v>#DIV/0!</v>
      </c>
      <c r="BC13" s="8" t="e">
        <f>AVERAGEIF('Sales Log'!$T$14:$T$212,BC2,'Sales Log'!$Q$14:$Q$212)</f>
        <v>#DIV/0!</v>
      </c>
      <c r="BD13" s="8" t="e">
        <f>AVERAGEIF('Sales Log'!$T$14:$T$212,BD2,'Sales Log'!$Q$14:$Q$212)</f>
        <v>#DIV/0!</v>
      </c>
      <c r="BE13" s="8" t="e">
        <f>AVERAGEIF('Sales Log'!$T$14:$T$212,BE2,'Sales Log'!$Q$14:$Q$212)</f>
        <v>#DIV/0!</v>
      </c>
      <c r="BF13" s="8" t="e">
        <f>AVERAGEIF('Sales Log'!$T$14:$T$212,BF2,'Sales Log'!$Q$14:$Q$212)</f>
        <v>#DIV/0!</v>
      </c>
      <c r="BG13" s="8" t="e">
        <f>AVERAGEIF('Sales Log'!$T$14:$T$212,BG2,'Sales Log'!$Q$14:$Q$212)</f>
        <v>#DIV/0!</v>
      </c>
      <c r="BH13" s="8" t="e">
        <f>AVERAGEIF('Sales Log'!$T$14:$T$212,BH2,'Sales Log'!$Q$14:$Q$212)</f>
        <v>#DIV/0!</v>
      </c>
      <c r="BI13" s="8" t="e">
        <f>AVERAGEIF('Sales Log'!$T$14:$T$212,BI2,'Sales Log'!$Q$14:$Q$212)</f>
        <v>#DIV/0!</v>
      </c>
      <c r="BJ13" s="8" t="e">
        <f>AVERAGEIF('Sales Log'!$T$14:$T$212,BJ2,'Sales Log'!$Q$14:$Q$212)</f>
        <v>#DIV/0!</v>
      </c>
      <c r="BK13" s="8" t="e">
        <f>AVERAGEIF('Sales Log'!$T$14:$T$212,BK2,'Sales Log'!$Q$14:$Q$212)</f>
        <v>#DIV/0!</v>
      </c>
    </row>
    <row r="14" spans="1:63" ht="22.5" customHeight="1">
      <c r="A14" s="5" t="s">
        <v>135</v>
      </c>
      <c r="B14" s="8">
        <f>'Sales Log'!$R$213</f>
        <v>5856.3731368421086</v>
      </c>
      <c r="C14" s="8">
        <f>AVERAGEIF('Sales Log'!$T$14:$T$212,C2,'Sales Log'!$R$14:$R$212)</f>
        <v>5336.1877368421065</v>
      </c>
      <c r="D14" s="8">
        <f>AVERAGEIF('Sales Log'!$T$14:$T$212,D2,'Sales Log'!$R$14:$R$212)</f>
        <v>5141.7070588235301</v>
      </c>
      <c r="E14" s="8">
        <f>AVERAGEIF('Sales Log'!$T$14:$T$212,E2,'Sales Log'!$R$14:$R$212)</f>
        <v>6742.3058695652171</v>
      </c>
      <c r="F14" s="8">
        <f>AVERAGEIF('Sales Log'!$T$14:$T$212,F2,'Sales Log'!$R$14:$R$212)</f>
        <v>6130.0807407407401</v>
      </c>
      <c r="G14" s="8">
        <f>AVERAGEIF('Sales Log'!$T$14:$T$212,G2,'Sales Log'!$R$14:$R$212)</f>
        <v>6275.7452631578944</v>
      </c>
      <c r="H14" s="8">
        <f>AVERAGEIF('Sales Log'!$T$14:$T$212,H2,'Sales Log'!$R$14:$R$212)</f>
        <v>5654.4925000000003</v>
      </c>
      <c r="I14" s="8">
        <f>AVERAGEIF('Sales Log'!$T$14:$T$212,I2,'Sales Log'!$R$14:$R$212)</f>
        <v>4494.4878461538456</v>
      </c>
      <c r="J14" s="8" t="e">
        <f>AVERAGEIF('Sales Log'!$T$14:$T$212,J2,'Sales Log'!$R$14:$R$212)</f>
        <v>#DIV/0!</v>
      </c>
      <c r="K14" s="8" t="e">
        <f>AVERAGEIF('Sales Log'!$T$14:$T$212,K2,'Sales Log'!$R$14:$R$212)</f>
        <v>#DIV/0!</v>
      </c>
      <c r="L14" s="8" t="e">
        <f>AVERAGEIF('Sales Log'!$T$14:$T$212,L2,'Sales Log'!$R$14:$R$212)</f>
        <v>#DIV/0!</v>
      </c>
      <c r="M14" s="8" t="e">
        <f>AVERAGEIF('Sales Log'!$T$14:$T$212,M2,'Sales Log'!$R$14:$R$212)</f>
        <v>#DIV/0!</v>
      </c>
      <c r="N14" s="8" t="e">
        <f>AVERAGEIF('Sales Log'!$T$14:$T$212,N2,'Sales Log'!$R$14:$R$212)</f>
        <v>#DIV/0!</v>
      </c>
      <c r="O14" s="8" t="e">
        <f>AVERAGEIF('Sales Log'!$T$14:$T$212,O2,'Sales Log'!$R$14:$R$212)</f>
        <v>#DIV/0!</v>
      </c>
      <c r="P14" s="8" t="e">
        <f>AVERAGEIF('Sales Log'!$T$14:$T$212,P2,'Sales Log'!$R$14:$R$212)</f>
        <v>#DIV/0!</v>
      </c>
      <c r="Q14" s="8" t="e">
        <f>AVERAGEIF('Sales Log'!$T$14:$T$212,Q2,'Sales Log'!$R$14:$R$212)</f>
        <v>#DIV/0!</v>
      </c>
      <c r="R14" s="8" t="e">
        <f>AVERAGEIF('Sales Log'!$T$14:$T$212,R2,'Sales Log'!$R$14:$R$212)</f>
        <v>#DIV/0!</v>
      </c>
      <c r="S14" s="8" t="e">
        <f>AVERAGEIF('Sales Log'!$T$14:$T$212,S2,'Sales Log'!$R$14:$R$212)</f>
        <v>#DIV/0!</v>
      </c>
      <c r="T14" s="8" t="e">
        <f>AVERAGEIF('Sales Log'!$T$14:$T$212,T2,'Sales Log'!$R$14:$R$212)</f>
        <v>#DIV/0!</v>
      </c>
      <c r="U14" s="8" t="e">
        <f>AVERAGEIF('Sales Log'!$T$14:$T$212,U2,'Sales Log'!$R$14:$R$212)</f>
        <v>#DIV/0!</v>
      </c>
      <c r="V14" s="8" t="e">
        <f>AVERAGEIF('Sales Log'!$T$14:$T$212,V2,'Sales Log'!$R$14:$R$212)</f>
        <v>#DIV/0!</v>
      </c>
      <c r="W14" s="8" t="e">
        <f>AVERAGEIF('Sales Log'!$T$14:$T$212,W2,'Sales Log'!$R$14:$R$212)</f>
        <v>#DIV/0!</v>
      </c>
      <c r="X14" s="8" t="e">
        <f>AVERAGEIF('Sales Log'!$T$14:$T$212,X2,'Sales Log'!$R$14:$R$212)</f>
        <v>#DIV/0!</v>
      </c>
      <c r="Y14" s="8" t="e">
        <f>AVERAGEIF('Sales Log'!$T$14:$T$212,Y2,'Sales Log'!$R$14:$R$212)</f>
        <v>#DIV/0!</v>
      </c>
      <c r="Z14" s="8" t="e">
        <f>AVERAGEIF('Sales Log'!$T$14:$T$212,Z2,'Sales Log'!$R$14:$R$212)</f>
        <v>#DIV/0!</v>
      </c>
      <c r="AA14" s="8" t="e">
        <f>AVERAGEIF('Sales Log'!$T$14:$T$212,AA2,'Sales Log'!$R$14:$R$212)</f>
        <v>#DIV/0!</v>
      </c>
      <c r="AB14" s="8" t="e">
        <f>AVERAGEIF('Sales Log'!$T$14:$T$212,AB2,'Sales Log'!$R$14:$R$212)</f>
        <v>#DIV/0!</v>
      </c>
      <c r="AC14" s="8" t="e">
        <f>AVERAGEIF('Sales Log'!$T$14:$T$212,AC2,'Sales Log'!$R$14:$R$212)</f>
        <v>#DIV/0!</v>
      </c>
      <c r="AD14" s="8" t="e">
        <f>AVERAGEIF('Sales Log'!$T$14:$T$212,AD2,'Sales Log'!$R$14:$R$212)</f>
        <v>#DIV/0!</v>
      </c>
      <c r="AE14" s="8" t="e">
        <f>AVERAGEIF('Sales Log'!$T$14:$T$212,AE2,'Sales Log'!$R$14:$R$212)</f>
        <v>#DIV/0!</v>
      </c>
      <c r="AF14" s="8" t="e">
        <f>AVERAGEIF('Sales Log'!$T$14:$T$212,AF2,'Sales Log'!$R$14:$R$212)</f>
        <v>#DIV/0!</v>
      </c>
      <c r="AG14" s="8" t="e">
        <f>AVERAGEIF('Sales Log'!$T$14:$T$212,AG2,'Sales Log'!$R$14:$R$212)</f>
        <v>#DIV/0!</v>
      </c>
      <c r="AH14" s="8" t="e">
        <f>AVERAGEIF('Sales Log'!$T$14:$T$212,AH2,'Sales Log'!$R$14:$R$212)</f>
        <v>#DIV/0!</v>
      </c>
      <c r="AI14" s="8" t="e">
        <f>AVERAGEIF('Sales Log'!$T$14:$T$212,AI2,'Sales Log'!$R$14:$R$212)</f>
        <v>#DIV/0!</v>
      </c>
      <c r="AJ14" s="8" t="e">
        <f>AVERAGEIF('Sales Log'!$T$14:$T$212,AJ2,'Sales Log'!$R$14:$R$212)</f>
        <v>#DIV/0!</v>
      </c>
      <c r="AK14" s="8" t="e">
        <f>AVERAGEIF('Sales Log'!$T$14:$T$212,AK2,'Sales Log'!$R$14:$R$212)</f>
        <v>#DIV/0!</v>
      </c>
      <c r="AL14" s="8" t="e">
        <f>AVERAGEIF('Sales Log'!$T$14:$T$212,AL2,'Sales Log'!$R$14:$R$212)</f>
        <v>#DIV/0!</v>
      </c>
      <c r="AM14" s="8" t="e">
        <f>AVERAGEIF('Sales Log'!$T$14:$T$212,AM2,'Sales Log'!$R$14:$R$212)</f>
        <v>#DIV/0!</v>
      </c>
      <c r="AN14" s="8" t="e">
        <f>AVERAGEIF('Sales Log'!$T$14:$T$212,AN2,'Sales Log'!$R$14:$R$212)</f>
        <v>#DIV/0!</v>
      </c>
      <c r="AO14" s="8" t="e">
        <f>AVERAGEIF('Sales Log'!$T$14:$T$212,AO2,'Sales Log'!$R$14:$R$212)</f>
        <v>#DIV/0!</v>
      </c>
      <c r="AP14" s="8" t="e">
        <f>AVERAGEIF('Sales Log'!$T$14:$T$212,AP2,'Sales Log'!$R$14:$R$212)</f>
        <v>#DIV/0!</v>
      </c>
      <c r="AQ14" s="8" t="e">
        <f>AVERAGEIF('Sales Log'!$T$14:$T$212,AQ2,'Sales Log'!$R$14:$R$212)</f>
        <v>#DIV/0!</v>
      </c>
      <c r="AR14" s="8" t="e">
        <f>AVERAGEIF('Sales Log'!$T$14:$T$212,AR2,'Sales Log'!$R$14:$R$212)</f>
        <v>#DIV/0!</v>
      </c>
      <c r="AS14" s="8" t="e">
        <f>AVERAGEIF('Sales Log'!$T$14:$T$212,AS2,'Sales Log'!$R$14:$R$212)</f>
        <v>#DIV/0!</v>
      </c>
      <c r="AT14" s="8" t="e">
        <f>AVERAGEIF('Sales Log'!$T$14:$T$212,AT2,'Sales Log'!$R$14:$R$212)</f>
        <v>#DIV/0!</v>
      </c>
      <c r="AU14" s="8" t="e">
        <f>AVERAGEIF('Sales Log'!$T$14:$T$212,AU2,'Sales Log'!$R$14:$R$212)</f>
        <v>#DIV/0!</v>
      </c>
      <c r="AV14" s="8" t="e">
        <f>AVERAGEIF('Sales Log'!$T$14:$T$212,AV2,'Sales Log'!$R$14:$R$212)</f>
        <v>#DIV/0!</v>
      </c>
      <c r="AW14" s="8" t="e">
        <f>AVERAGEIF('Sales Log'!$T$14:$T$212,AW2,'Sales Log'!$R$14:$R$212)</f>
        <v>#DIV/0!</v>
      </c>
      <c r="AX14" s="8" t="e">
        <f>AVERAGEIF('Sales Log'!$T$14:$T$212,AX2,'Sales Log'!$R$14:$R$212)</f>
        <v>#DIV/0!</v>
      </c>
      <c r="AY14" s="8" t="e">
        <f>AVERAGEIF('Sales Log'!$T$14:$T$212,AY2,'Sales Log'!$R$14:$R$212)</f>
        <v>#DIV/0!</v>
      </c>
      <c r="AZ14" s="8" t="e">
        <f>AVERAGEIF('Sales Log'!$T$14:$T$212,AZ2,'Sales Log'!$R$14:$R$212)</f>
        <v>#DIV/0!</v>
      </c>
      <c r="BA14" s="8" t="e">
        <f>AVERAGEIF('Sales Log'!$T$14:$T$212,BA2,'Sales Log'!$R$14:$R$212)</f>
        <v>#DIV/0!</v>
      </c>
      <c r="BB14" s="8" t="e">
        <f>AVERAGEIF('Sales Log'!$T$14:$T$212,BB2,'Sales Log'!$R$14:$R$212)</f>
        <v>#DIV/0!</v>
      </c>
      <c r="BC14" s="8" t="e">
        <f>AVERAGEIF('Sales Log'!$T$14:$T$212,BC2,'Sales Log'!$R$14:$R$212)</f>
        <v>#DIV/0!</v>
      </c>
      <c r="BD14" s="8" t="e">
        <f>AVERAGEIF('Sales Log'!$T$14:$T$212,BD2,'Sales Log'!$R$14:$R$212)</f>
        <v>#DIV/0!</v>
      </c>
      <c r="BE14" s="8" t="e">
        <f>AVERAGEIF('Sales Log'!$T$14:$T$212,BE2,'Sales Log'!$R$14:$R$212)</f>
        <v>#DIV/0!</v>
      </c>
      <c r="BF14" s="8" t="e">
        <f>AVERAGEIF('Sales Log'!$T$14:$T$212,BF2,'Sales Log'!$R$14:$R$212)</f>
        <v>#DIV/0!</v>
      </c>
      <c r="BG14" s="8" t="e">
        <f>AVERAGEIF('Sales Log'!$T$14:$T$212,BG2,'Sales Log'!$R$14:$R$212)</f>
        <v>#DIV/0!</v>
      </c>
      <c r="BH14" s="8" t="e">
        <f>AVERAGEIF('Sales Log'!$T$14:$T$212,BH2,'Sales Log'!$R$14:$R$212)</f>
        <v>#DIV/0!</v>
      </c>
      <c r="BI14" s="8" t="e">
        <f>AVERAGEIF('Sales Log'!$T$14:$T$212,BI2,'Sales Log'!$R$14:$R$212)</f>
        <v>#DIV/0!</v>
      </c>
      <c r="BJ14" s="8" t="e">
        <f>AVERAGEIF('Sales Log'!$T$14:$T$212,BJ2,'Sales Log'!$R$14:$R$212)</f>
        <v>#DIV/0!</v>
      </c>
      <c r="BK14" s="8" t="e">
        <f>AVERAGEIF('Sales Log'!$T$14:$T$212,BK2,'Sales Log'!$R$14:$R$212)</f>
        <v>#DIV/0!</v>
      </c>
    </row>
    <row r="15" spans="1:63" ht="21" customHeight="1">
      <c r="A15" s="5" t="s">
        <v>136</v>
      </c>
      <c r="B15" s="10">
        <f>B14*B4</f>
        <v>1112710.8960000006</v>
      </c>
      <c r="C15" s="10">
        <f>C14*C4</f>
        <v>202775.13400000005</v>
      </c>
      <c r="D15" s="10">
        <f t="shared" ref="D15:L15" si="2">D14*D4</f>
        <v>174818.04000000004</v>
      </c>
      <c r="E15" s="10">
        <f t="shared" si="2"/>
        <v>310146.07</v>
      </c>
      <c r="F15" s="10">
        <f t="shared" si="2"/>
        <v>165512.18</v>
      </c>
      <c r="G15" s="10">
        <f t="shared" si="2"/>
        <v>119239.15999999999</v>
      </c>
      <c r="H15" s="10">
        <f t="shared" si="2"/>
        <v>67853.91</v>
      </c>
      <c r="I15" s="10">
        <f t="shared" si="2"/>
        <v>58428.34199999999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ref="M15" si="3">M14*M4</f>
        <v>#DIV/0!</v>
      </c>
      <c r="N15" s="10" t="e">
        <f t="shared" ref="N15" si="4">N14*N4</f>
        <v>#DIV/0!</v>
      </c>
      <c r="O15" s="10" t="e">
        <f t="shared" ref="O15" si="5">O14*O4</f>
        <v>#DIV/0!</v>
      </c>
      <c r="P15" s="10" t="e">
        <f t="shared" ref="P15" si="6">P14*P4</f>
        <v>#DIV/0!</v>
      </c>
      <c r="Q15" s="10" t="e">
        <f t="shared" ref="Q15:R15" si="7">Q14*Q4</f>
        <v>#DIV/0!</v>
      </c>
      <c r="R15" s="10" t="e">
        <f t="shared" si="7"/>
        <v>#DIV/0!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90</v>
      </c>
      <c r="B16" s="9">
        <f>(B14/(B7)*(360/B5))</f>
        <v>2.8330995905627123</v>
      </c>
      <c r="C16" s="9">
        <f t="shared" ref="C16:BK16" ca="1" si="10">(C14/(C7)*(360/C5))</f>
        <v>2.9722604276863334</v>
      </c>
      <c r="D16" s="9">
        <f t="shared" ca="1" si="10"/>
        <v>2.0853296579970144</v>
      </c>
      <c r="E16" s="9">
        <f t="shared" ca="1" si="10"/>
        <v>4.2882715122235746</v>
      </c>
      <c r="F16" s="9">
        <f t="shared" ca="1" si="10"/>
        <v>2.2036521688271464</v>
      </c>
      <c r="G16" s="9">
        <f t="shared" ca="1" si="10"/>
        <v>3.7754386970921421</v>
      </c>
      <c r="H16" s="9">
        <f t="shared" ca="1" si="10"/>
        <v>2.5378670573528002</v>
      </c>
      <c r="I16" s="9">
        <f t="shared" ca="1" si="10"/>
        <v>1.8264019882681477</v>
      </c>
      <c r="J16" s="9" t="e">
        <f t="shared" ca="1" si="10"/>
        <v>#DIV/0!</v>
      </c>
      <c r="K16" s="9" t="e">
        <f t="shared" ca="1" si="10"/>
        <v>#DIV/0!</v>
      </c>
      <c r="L16" s="9" t="e">
        <f t="shared" ca="1" si="10"/>
        <v>#DIV/0!</v>
      </c>
      <c r="M16" s="9" t="e">
        <f t="shared" ca="1" si="10"/>
        <v>#DIV/0!</v>
      </c>
      <c r="N16" s="9" t="e">
        <f t="shared" ca="1" si="10"/>
        <v>#DIV/0!</v>
      </c>
      <c r="O16" s="9" t="e">
        <f t="shared" ca="1" si="10"/>
        <v>#DIV/0!</v>
      </c>
      <c r="P16" s="9" t="e">
        <f t="shared" ca="1" si="10"/>
        <v>#DIV/0!</v>
      </c>
      <c r="Q16" s="9" t="e">
        <f t="shared" ca="1" si="10"/>
        <v>#DIV/0!</v>
      </c>
      <c r="R16" s="9" t="e">
        <f t="shared" ca="1" si="10"/>
        <v>#DIV/0!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137</v>
      </c>
      <c r="B17" s="9">
        <f>'Sales Log'!AA213/'Scoreboard Total'!B3</f>
        <v>0.58421052631578951</v>
      </c>
      <c r="C17" s="9">
        <f>COUNTIFS('Sales Log'!$T$14:$T$212,C2,'Sales Log'!$AA$14:$AA$212,"Yes")/C$4</f>
        <v>0.65789473684210531</v>
      </c>
      <c r="D17" s="9">
        <f>COUNTIFS('Sales Log'!$T$14:$T$212,D2,'Sales Log'!$AA$14:$AA$212,"Yes")/D$4</f>
        <v>0.5</v>
      </c>
      <c r="E17" s="9">
        <f>COUNTIFS('Sales Log'!$T$14:$T$212,E2,'Sales Log'!$AA$14:$AA$212,"Yes")/E$4</f>
        <v>0.58695652173913049</v>
      </c>
      <c r="F17" s="9">
        <f>COUNTIFS('Sales Log'!$T$14:$T$212,F2,'Sales Log'!$AA$14:$AA$212,"Yes")/F$4</f>
        <v>0.51851851851851849</v>
      </c>
      <c r="G17" s="9">
        <f>COUNTIFS('Sales Log'!$T$14:$T$212,G2,'Sales Log'!$AA$14:$AA$212,"Yes")/G$4</f>
        <v>0.68421052631578949</v>
      </c>
      <c r="H17" s="9">
        <f>COUNTIFS('Sales Log'!$T$14:$T$212,H2,'Sales Log'!$AA$14:$AA$212,"Yes")/H$4</f>
        <v>0.66666666666666663</v>
      </c>
      <c r="I17" s="9">
        <f>COUNTIFS('Sales Log'!$T$14:$T$212,I2,'Sales Log'!$AA$14:$AA$212,"Yes")/I$4</f>
        <v>0.46153846153846156</v>
      </c>
      <c r="J17" s="9" t="e">
        <f>COUNTIFS('Sales Log'!$T$14:$T$212,J2,'Sales Log'!$AA$14:$AA$212,"Yes")/J$4</f>
        <v>#DIV/0!</v>
      </c>
      <c r="K17" s="9" t="e">
        <f>COUNTIFS('Sales Log'!$T$14:$T$212,K2,'Sales Log'!$AA$14:$AA$212,"Yes")/K$4</f>
        <v>#DIV/0!</v>
      </c>
      <c r="L17" s="9" t="e">
        <f>COUNTIFS('Sales Log'!$T$14:$T$212,L2,'Sales Log'!$AA$14:$AA$212,"Yes")/L$4</f>
        <v>#DIV/0!</v>
      </c>
      <c r="M17" s="9" t="e">
        <f>COUNTIFS('Sales Log'!$T$14:$T$212,M2,'Sales Log'!$AA$14:$AA$212,"Yes")/M$4</f>
        <v>#DIV/0!</v>
      </c>
      <c r="N17" s="9" t="e">
        <f>COUNTIFS('Sales Log'!$T$14:$T$212,N2,'Sales Log'!$AA$14:$AA$212,"Yes")/N$4</f>
        <v>#DIV/0!</v>
      </c>
      <c r="O17" s="9" t="e">
        <f>COUNTIFS('Sales Log'!$T$14:$T$212,O2,'Sales Log'!$AA$14:$AA$212,"Yes")/O$4</f>
        <v>#DIV/0!</v>
      </c>
      <c r="P17" s="9" t="e">
        <f>COUNTIFS('Sales Log'!$T$14:$T$212,P2,'Sales Log'!$AA$14:$AA$212,"Yes")/P$4</f>
        <v>#DIV/0!</v>
      </c>
      <c r="Q17" s="9" t="e">
        <f>COUNTIFS('Sales Log'!$T$14:$T$212,Q2,'Sales Log'!$AA$14:$AA$212,"Yes")/Q$4</f>
        <v>#DIV/0!</v>
      </c>
      <c r="R17" s="9" t="e">
        <f>COUNTIFS('Sales Log'!$T$14:$T$212,R2,'Sales Log'!$AA$14:$AA$212,"Yes")/R$4</f>
        <v>#DIV/0!</v>
      </c>
      <c r="S17" s="9" t="e">
        <f>COUNTIFS('Sales Log'!$T$14:$T$212,S2,'Sales Log'!$AA$14:$AA$212,"Yes")/S$4</f>
        <v>#DIV/0!</v>
      </c>
      <c r="T17" s="9" t="e">
        <f>COUNTIFS('Sales Log'!$T$14:$T$212,T2,'Sales Log'!$AA$14:$AA$212,"Yes")/T$4</f>
        <v>#DIV/0!</v>
      </c>
      <c r="U17" s="9" t="e">
        <f>COUNTIFS('Sales Log'!$T$14:$T$212,U2,'Sales Log'!$AA$14:$AA$212,"Yes")/U$4</f>
        <v>#DIV/0!</v>
      </c>
      <c r="V17" s="9" t="e">
        <f>COUNTIFS('Sales Log'!$T$14:$T$212,V2,'Sales Log'!$AA$14:$AA$212,"Yes")/V$4</f>
        <v>#DIV/0!</v>
      </c>
      <c r="W17" s="9" t="e">
        <f>COUNTIFS('Sales Log'!$T$14:$T$212,W2,'Sales Log'!$AA$14:$AA$212,"Yes")/W$4</f>
        <v>#DIV/0!</v>
      </c>
      <c r="X17" s="9" t="e">
        <f>COUNTIFS('Sales Log'!$T$14:$T$212,X2,'Sales Log'!$AA$14:$AA$212,"Yes")/X$4</f>
        <v>#DIV/0!</v>
      </c>
      <c r="Y17" s="9" t="e">
        <f>COUNTIFS('Sales Log'!$T$14:$T$212,Y2,'Sales Log'!$AA$14:$AA$212,"Yes")/Y$4</f>
        <v>#DIV/0!</v>
      </c>
      <c r="Z17" s="9" t="e">
        <f>COUNTIFS('Sales Log'!$T$14:$T$212,Z2,'Sales Log'!$AA$14:$AA$212,"Yes")/Z$4</f>
        <v>#DIV/0!</v>
      </c>
      <c r="AA17" s="9" t="e">
        <f>COUNTIFS('Sales Log'!$T$14:$T$212,AA2,'Sales Log'!$AA$14:$AA$212,"Yes")/AA$4</f>
        <v>#DIV/0!</v>
      </c>
      <c r="AB17" s="9" t="e">
        <f>COUNTIFS('Sales Log'!$T$14:$T$212,AB2,'Sales Log'!$AA$14:$AA$212,"Yes")/AB$4</f>
        <v>#DIV/0!</v>
      </c>
      <c r="AC17" s="9" t="e">
        <f>COUNTIFS('Sales Log'!$T$14:$T$212,AC2,'Sales Log'!$AA$14:$AA$212,"Yes")/AC$4</f>
        <v>#DIV/0!</v>
      </c>
      <c r="AD17" s="9" t="e">
        <f>COUNTIFS('Sales Log'!$T$14:$T$212,AD2,'Sales Log'!$AA$14:$AA$212,"Yes")/AD$4</f>
        <v>#DIV/0!</v>
      </c>
      <c r="AE17" s="9" t="e">
        <f>COUNTIFS('Sales Log'!$T$14:$T$212,AE2,'Sales Log'!$AA$14:$AA$212,"Yes")/AE$4</f>
        <v>#DIV/0!</v>
      </c>
      <c r="AF17" s="9" t="e">
        <f>COUNTIFS('Sales Log'!$T$14:$T$212,AF2,'Sales Log'!$AA$14:$AA$212,"Yes")/AF$4</f>
        <v>#DIV/0!</v>
      </c>
      <c r="AG17" s="9" t="e">
        <f>COUNTIFS('Sales Log'!$T$14:$T$212,AG2,'Sales Log'!$AA$14:$AA$212,"Yes")/AG$4</f>
        <v>#DIV/0!</v>
      </c>
      <c r="AH17" s="9" t="e">
        <f>COUNTIFS('Sales Log'!$T$14:$T$212,AH2,'Sales Log'!$AA$14:$AA$212,"Yes")/AH$4</f>
        <v>#DIV/0!</v>
      </c>
      <c r="AI17" s="9" t="e">
        <f>COUNTIFS('Sales Log'!$T$14:$T$212,AI2,'Sales Log'!$AA$14:$AA$212,"Yes")/AI$4</f>
        <v>#DIV/0!</v>
      </c>
      <c r="AJ17" s="9" t="e">
        <f>COUNTIFS('Sales Log'!$T$14:$T$212,AJ2,'Sales Log'!$AA$14:$AA$212,"Yes")/AJ$4</f>
        <v>#DIV/0!</v>
      </c>
      <c r="AK17" s="9" t="e">
        <f>COUNTIFS('Sales Log'!$T$14:$T$212,AK2,'Sales Log'!$AA$14:$AA$212,"Yes")/AK$4</f>
        <v>#DIV/0!</v>
      </c>
      <c r="AL17" s="9" t="e">
        <f>COUNTIFS('Sales Log'!$T$14:$T$212,AL2,'Sales Log'!$AA$14:$AA$212,"Yes")/AL$4</f>
        <v>#DIV/0!</v>
      </c>
      <c r="AM17" s="9" t="e">
        <f>COUNTIFS('Sales Log'!$T$14:$T$212,AM2,'Sales Log'!$AA$14:$AA$212,"Yes")/AM$4</f>
        <v>#DIV/0!</v>
      </c>
      <c r="AN17" s="9" t="e">
        <f>COUNTIFS('Sales Log'!$T$14:$T$212,AN2,'Sales Log'!$AA$14:$AA$212,"Yes")/AN$4</f>
        <v>#DIV/0!</v>
      </c>
      <c r="AO17" s="9" t="e">
        <f>COUNTIFS('Sales Log'!$T$14:$T$212,AO2,'Sales Log'!$AA$14:$AA$212,"Yes")/AO$4</f>
        <v>#DIV/0!</v>
      </c>
      <c r="AP17" s="9" t="e">
        <f>COUNTIFS('Sales Log'!$T$14:$T$212,AP2,'Sales Log'!$AA$14:$AA$212,"Yes")/AP$4</f>
        <v>#DIV/0!</v>
      </c>
      <c r="AQ17" s="9" t="e">
        <f>COUNTIFS('Sales Log'!$T$14:$T$212,AQ2,'Sales Log'!$AA$14:$AA$212,"Yes")/AQ$4</f>
        <v>#DIV/0!</v>
      </c>
      <c r="AR17" s="9" t="e">
        <f>COUNTIFS('Sales Log'!$T$14:$T$212,AR2,'Sales Log'!$AA$14:$AA$212,"Yes")/AR$4</f>
        <v>#DIV/0!</v>
      </c>
      <c r="AS17" s="9" t="e">
        <f>COUNTIFS('Sales Log'!$T$14:$T$212,AS2,'Sales Log'!$AA$14:$AA$212,"Yes")/AS$4</f>
        <v>#DIV/0!</v>
      </c>
      <c r="AT17" s="9" t="e">
        <f>COUNTIFS('Sales Log'!$T$14:$T$212,AT2,'Sales Log'!$AA$14:$AA$212,"Yes")/AT$4</f>
        <v>#DIV/0!</v>
      </c>
      <c r="AU17" s="9" t="e">
        <f>COUNTIFS('Sales Log'!$T$14:$T$212,AU2,'Sales Log'!$AA$14:$AA$212,"Yes")/AU$4</f>
        <v>#DIV/0!</v>
      </c>
      <c r="AV17" s="9" t="e">
        <f>COUNTIFS('Sales Log'!$T$14:$T$212,AV2,'Sales Log'!$AA$14:$AA$212,"Yes")/AV$4</f>
        <v>#DIV/0!</v>
      </c>
      <c r="AW17" s="9" t="e">
        <f>COUNTIFS('Sales Log'!$T$14:$T$212,AW2,'Sales Log'!$AA$14:$AA$212,"Yes")/AW$4</f>
        <v>#DIV/0!</v>
      </c>
      <c r="AX17" s="9" t="e">
        <f>COUNTIFS('Sales Log'!$T$14:$T$212,AX2,'Sales Log'!$AA$14:$AA$212,"Yes")/AX$4</f>
        <v>#DIV/0!</v>
      </c>
      <c r="AY17" s="9" t="e">
        <f>COUNTIFS('Sales Log'!$T$14:$T$212,AY2,'Sales Log'!$AA$14:$AA$212,"Yes")/AY$4</f>
        <v>#DIV/0!</v>
      </c>
      <c r="AZ17" s="9" t="e">
        <f>COUNTIFS('Sales Log'!$T$14:$T$212,AZ2,'Sales Log'!$AA$14:$AA$212,"Yes")/AZ$4</f>
        <v>#DIV/0!</v>
      </c>
      <c r="BA17" s="9" t="e">
        <f>COUNTIFS('Sales Log'!$T$14:$T$212,BA2,'Sales Log'!$AA$14:$AA$212,"Yes")/BA$4</f>
        <v>#DIV/0!</v>
      </c>
      <c r="BB17" s="9" t="e">
        <f>COUNTIFS('Sales Log'!$T$14:$T$212,BB2,'Sales Log'!$AA$14:$AA$212,"Yes")/BB$4</f>
        <v>#DIV/0!</v>
      </c>
      <c r="BC17" s="9" t="e">
        <f>COUNTIFS('Sales Log'!$T$14:$T$212,BC2,'Sales Log'!$AA$14:$AA$212,"Yes")/BC$4</f>
        <v>#DIV/0!</v>
      </c>
      <c r="BD17" s="9" t="e">
        <f>COUNTIFS('Sales Log'!$T$14:$T$212,BD2,'Sales Log'!$AA$14:$AA$212,"Yes")/BD$4</f>
        <v>#DIV/0!</v>
      </c>
      <c r="BE17" s="9" t="e">
        <f>COUNTIFS('Sales Log'!$T$14:$T$212,BE2,'Sales Log'!$AA$14:$AA$212,"Yes")/BE$4</f>
        <v>#DIV/0!</v>
      </c>
      <c r="BF17" s="9" t="e">
        <f>COUNTIFS('Sales Log'!$T$14:$T$212,BF2,'Sales Log'!$AA$14:$AA$212,"Yes")/BF$4</f>
        <v>#DIV/0!</v>
      </c>
      <c r="BG17" s="9" t="e">
        <f>COUNTIFS('Sales Log'!$T$14:$T$212,BG2,'Sales Log'!$AA$14:$AA$212,"Yes")/BG$4</f>
        <v>#DIV/0!</v>
      </c>
      <c r="BH17" s="9" t="e">
        <f>COUNTIFS('Sales Log'!$T$14:$T$212,BH2,'Sales Log'!$AA$14:$AA$212,"Yes")/BH$4</f>
        <v>#DIV/0!</v>
      </c>
      <c r="BI17" s="9" t="e">
        <f>COUNTIFS('Sales Log'!$T$14:$T$212,BI2,'Sales Log'!$AA$14:$AA$212,"Yes")/BI$4</f>
        <v>#DIV/0!</v>
      </c>
      <c r="BJ17" s="9" t="e">
        <f>COUNTIFS('Sales Log'!$T$14:$T$212,BJ2,'Sales Log'!$AA$14:$AA$212,"Yes")/BJ$4</f>
        <v>#DIV/0!</v>
      </c>
      <c r="BK17" s="9" t="e">
        <f>COUNTIFS('Sales Log'!$T$14:$T$212,BK2,'Sales Log'!$AA$14:$AA$212,"Yes")/BK$4</f>
        <v>#DIV/0!</v>
      </c>
    </row>
    <row r="18" spans="1:63" ht="21" customHeight="1">
      <c r="A18" s="5" t="s">
        <v>138</v>
      </c>
      <c r="B18" s="114">
        <f>'Sales Log'!$AB$213</f>
        <v>675.559732142857</v>
      </c>
      <c r="C18" s="114">
        <f>AVERAGEIF('Sales Log'!$T$14:$T$212,C2,'Sales Log'!$AB$14:$AB$212)</f>
        <v>875.48791666666659</v>
      </c>
      <c r="D18" s="114">
        <f>AVERAGEIF('Sales Log'!$T$14:$T$212,D2,'Sales Log'!$AB$14:$AB$212)</f>
        <v>147.00470588235294</v>
      </c>
      <c r="E18" s="114">
        <f>AVERAGEIF('Sales Log'!$T$14:$T$212,E2,'Sales Log'!$AB$14:$AB$212)</f>
        <v>720.05555555555554</v>
      </c>
      <c r="F18" s="114">
        <f>AVERAGEIF('Sales Log'!$T$14:$T$212,F2,'Sales Log'!$AB$14:$AB$212)</f>
        <v>909.58428571428578</v>
      </c>
      <c r="G18" s="114">
        <f>AVERAGEIF('Sales Log'!$T$14:$T$212,G2,'Sales Log'!$AB$14:$AB$212)</f>
        <v>923.05071428571421</v>
      </c>
      <c r="H18" s="114">
        <f>AVERAGEIF('Sales Log'!$T$14:$T$212,H2,'Sales Log'!$AB$14:$AB$212)</f>
        <v>566.45444444444445</v>
      </c>
      <c r="I18" s="114">
        <f>AVERAGEIF('Sales Log'!$T$14:$T$212,I2,'Sales Log'!$AB$14:$AB$212)</f>
        <v>551.90333333333331</v>
      </c>
      <c r="J18" s="114" t="e">
        <f>AVERAGEIF('Sales Log'!$T$14:$T$212,J2,'Sales Log'!$AB$14:$AB$212)</f>
        <v>#DIV/0!</v>
      </c>
      <c r="K18" s="114" t="e">
        <f>AVERAGEIF('Sales Log'!$T$14:$T$212,K2,'Sales Log'!$AB$14:$AB$212)</f>
        <v>#DIV/0!</v>
      </c>
      <c r="L18" s="114" t="e">
        <f>AVERAGEIF('Sales Log'!$T$14:$T$212,L2,'Sales Log'!$AB$14:$AB$212)</f>
        <v>#DIV/0!</v>
      </c>
      <c r="M18" s="114" t="e">
        <f>AVERAGEIF('Sales Log'!$T$14:$T$212,M2,'Sales Log'!$AB$14:$AB$212)</f>
        <v>#DIV/0!</v>
      </c>
      <c r="N18" s="114" t="e">
        <f>AVERAGEIF('Sales Log'!$T$14:$T$212,N2,'Sales Log'!$AB$14:$AB$212)</f>
        <v>#DIV/0!</v>
      </c>
      <c r="O18" s="114" t="e">
        <f>AVERAGEIF('Sales Log'!$T$14:$T$212,O2,'Sales Log'!$AB$14:$AB$212)</f>
        <v>#DIV/0!</v>
      </c>
      <c r="P18" s="114" t="e">
        <f>AVERAGEIF('Sales Log'!$T$14:$T$212,P2,'Sales Log'!$AB$14:$AB$212)</f>
        <v>#DIV/0!</v>
      </c>
      <c r="Q18" s="114" t="e">
        <f>AVERAGEIF('Sales Log'!$T$14:$T$212,Q2,'Sales Log'!$AB$14:$AB$212)</f>
        <v>#DIV/0!</v>
      </c>
      <c r="R18" s="114" t="e">
        <f>AVERAGEIF('Sales Log'!$T$14:$T$212,R2,'Sales Log'!$AB$14:$AB$212)</f>
        <v>#DIV/0!</v>
      </c>
      <c r="S18" s="114" t="e">
        <f>AVERAGEIF('Sales Log'!$T$14:$T$212,S2,'Sales Log'!$AB$14:$AB$212)</f>
        <v>#DIV/0!</v>
      </c>
      <c r="T18" s="114" t="e">
        <f>AVERAGEIF('Sales Log'!$T$14:$T$212,T2,'Sales Log'!$AB$14:$AB$212)</f>
        <v>#DIV/0!</v>
      </c>
      <c r="U18" s="114" t="e">
        <f>AVERAGEIF('Sales Log'!$T$14:$T$212,U2,'Sales Log'!$AB$14:$AB$212)</f>
        <v>#DIV/0!</v>
      </c>
      <c r="V18" s="114" t="e">
        <f>AVERAGEIF('Sales Log'!$T$14:$T$212,V2,'Sales Log'!$AB$14:$AB$212)</f>
        <v>#DIV/0!</v>
      </c>
      <c r="W18" s="114" t="e">
        <f>AVERAGEIF('Sales Log'!$T$14:$T$212,W2,'Sales Log'!$AB$14:$AB$212)</f>
        <v>#DIV/0!</v>
      </c>
      <c r="X18" s="114" t="e">
        <f>AVERAGEIF('Sales Log'!$T$14:$T$212,X2,'Sales Log'!$AB$14:$AB$212)</f>
        <v>#DIV/0!</v>
      </c>
      <c r="Y18" s="114" t="e">
        <f>AVERAGEIF('Sales Log'!$T$14:$T$212,Y2,'Sales Log'!$AB$14:$AB$212)</f>
        <v>#DIV/0!</v>
      </c>
      <c r="Z18" s="114" t="e">
        <f>AVERAGEIF('Sales Log'!$T$14:$T$212,Z2,'Sales Log'!$AB$14:$AB$212)</f>
        <v>#DIV/0!</v>
      </c>
      <c r="AA18" s="114" t="e">
        <f>AVERAGEIF('Sales Log'!$T$14:$T$212,AA2,'Sales Log'!$AB$14:$AB$212)</f>
        <v>#DIV/0!</v>
      </c>
      <c r="AB18" s="114" t="e">
        <f>AVERAGEIF('Sales Log'!$T$14:$T$212,AB2,'Sales Log'!$AB$14:$AB$212)</f>
        <v>#DIV/0!</v>
      </c>
      <c r="AC18" s="114" t="e">
        <f>AVERAGEIF('Sales Log'!$T$14:$T$212,AC2,'Sales Log'!$AB$14:$AB$212)</f>
        <v>#DIV/0!</v>
      </c>
      <c r="AD18" s="114" t="e">
        <f>AVERAGEIF('Sales Log'!$T$14:$T$212,AD2,'Sales Log'!$AB$14:$AB$212)</f>
        <v>#DIV/0!</v>
      </c>
      <c r="AE18" s="114" t="e">
        <f>AVERAGEIF('Sales Log'!$T$14:$T$212,AE2,'Sales Log'!$AB$14:$AB$212)</f>
        <v>#DIV/0!</v>
      </c>
      <c r="AF18" s="114" t="e">
        <f>AVERAGEIF('Sales Log'!$T$14:$T$212,AF2,'Sales Log'!$AB$14:$AB$212)</f>
        <v>#DIV/0!</v>
      </c>
      <c r="AG18" s="114" t="e">
        <f>AVERAGEIF('Sales Log'!$T$14:$T$212,AG2,'Sales Log'!$AB$14:$AB$212)</f>
        <v>#DIV/0!</v>
      </c>
      <c r="AH18" s="114" t="e">
        <f>AVERAGEIF('Sales Log'!$T$14:$T$212,AH2,'Sales Log'!$AB$14:$AB$212)</f>
        <v>#DIV/0!</v>
      </c>
      <c r="AI18" s="114" t="e">
        <f>AVERAGEIF('Sales Log'!$T$14:$T$212,AI2,'Sales Log'!$AB$14:$AB$212)</f>
        <v>#DIV/0!</v>
      </c>
      <c r="AJ18" s="114" t="e">
        <f>AVERAGEIF('Sales Log'!$T$14:$T$212,AJ2,'Sales Log'!$AB$14:$AB$212)</f>
        <v>#DIV/0!</v>
      </c>
      <c r="AK18" s="114" t="e">
        <f>AVERAGEIF('Sales Log'!$T$14:$T$212,AK2,'Sales Log'!$AB$14:$AB$212)</f>
        <v>#DIV/0!</v>
      </c>
      <c r="AL18" s="114" t="e">
        <f>AVERAGEIF('Sales Log'!$T$14:$T$212,AL2,'Sales Log'!$AB$14:$AB$212)</f>
        <v>#DIV/0!</v>
      </c>
      <c r="AM18" s="114" t="e">
        <f>AVERAGEIF('Sales Log'!$T$14:$T$212,AM2,'Sales Log'!$AB$14:$AB$212)</f>
        <v>#DIV/0!</v>
      </c>
      <c r="AN18" s="114" t="e">
        <f>AVERAGEIF('Sales Log'!$T$14:$T$212,AN2,'Sales Log'!$AB$14:$AB$212)</f>
        <v>#DIV/0!</v>
      </c>
      <c r="AO18" s="114" t="e">
        <f>AVERAGEIF('Sales Log'!$T$14:$T$212,AO2,'Sales Log'!$AB$14:$AB$212)</f>
        <v>#DIV/0!</v>
      </c>
      <c r="AP18" s="114" t="e">
        <f>AVERAGEIF('Sales Log'!$T$14:$T$212,AP2,'Sales Log'!$AB$14:$AB$212)</f>
        <v>#DIV/0!</v>
      </c>
      <c r="AQ18" s="114" t="e">
        <f>AVERAGEIF('Sales Log'!$T$14:$T$212,AQ2,'Sales Log'!$AB$14:$AB$212)</f>
        <v>#DIV/0!</v>
      </c>
      <c r="AR18" s="114" t="e">
        <f>AVERAGEIF('Sales Log'!$T$14:$T$212,AR2,'Sales Log'!$AB$14:$AB$212)</f>
        <v>#DIV/0!</v>
      </c>
      <c r="AS18" s="114" t="e">
        <f>AVERAGEIF('Sales Log'!$T$14:$T$212,AS2,'Sales Log'!$AB$14:$AB$212)</f>
        <v>#DIV/0!</v>
      </c>
      <c r="AT18" s="114" t="e">
        <f>AVERAGEIF('Sales Log'!$T$14:$T$212,AT2,'Sales Log'!$AB$14:$AB$212)</f>
        <v>#DIV/0!</v>
      </c>
      <c r="AU18" s="114" t="e">
        <f>AVERAGEIF('Sales Log'!$T$14:$T$212,AU2,'Sales Log'!$AB$14:$AB$212)</f>
        <v>#DIV/0!</v>
      </c>
      <c r="AV18" s="114" t="e">
        <f>AVERAGEIF('Sales Log'!$T$14:$T$212,AV2,'Sales Log'!$AB$14:$AB$212)</f>
        <v>#DIV/0!</v>
      </c>
      <c r="AW18" s="114" t="e">
        <f>AVERAGEIF('Sales Log'!$T$14:$T$212,AW2,'Sales Log'!$AB$14:$AB$212)</f>
        <v>#DIV/0!</v>
      </c>
      <c r="AX18" s="114" t="e">
        <f>AVERAGEIF('Sales Log'!$T$14:$T$212,AX2,'Sales Log'!$AB$14:$AB$212)</f>
        <v>#DIV/0!</v>
      </c>
      <c r="AY18" s="114" t="e">
        <f>AVERAGEIF('Sales Log'!$T$14:$T$212,AY2,'Sales Log'!$AB$14:$AB$212)</f>
        <v>#DIV/0!</v>
      </c>
      <c r="AZ18" s="114" t="e">
        <f>AVERAGEIF('Sales Log'!$T$14:$T$212,AZ2,'Sales Log'!$AB$14:$AB$212)</f>
        <v>#DIV/0!</v>
      </c>
      <c r="BA18" s="114" t="e">
        <f>AVERAGEIF('Sales Log'!$T$14:$T$212,BA2,'Sales Log'!$AB$14:$AB$212)</f>
        <v>#DIV/0!</v>
      </c>
      <c r="BB18" s="114" t="e">
        <f>AVERAGEIF('Sales Log'!$T$14:$T$212,BB2,'Sales Log'!$AB$14:$AB$212)</f>
        <v>#DIV/0!</v>
      </c>
      <c r="BC18" s="114" t="e">
        <f>AVERAGEIF('Sales Log'!$T$14:$T$212,BC2,'Sales Log'!$AB$14:$AB$212)</f>
        <v>#DIV/0!</v>
      </c>
      <c r="BD18" s="114" t="e">
        <f>AVERAGEIF('Sales Log'!$T$14:$T$212,BD2,'Sales Log'!$AB$14:$AB$212)</f>
        <v>#DIV/0!</v>
      </c>
      <c r="BE18" s="114" t="e">
        <f>AVERAGEIF('Sales Log'!$T$14:$T$212,BE2,'Sales Log'!$AB$14:$AB$212)</f>
        <v>#DIV/0!</v>
      </c>
      <c r="BF18" s="114" t="e">
        <f>AVERAGEIF('Sales Log'!$T$14:$T$212,BF2,'Sales Log'!$AB$14:$AB$212)</f>
        <v>#DIV/0!</v>
      </c>
      <c r="BG18" s="114" t="e">
        <f>AVERAGEIF('Sales Log'!$T$14:$T$212,BG2,'Sales Log'!$AB$14:$AB$212)</f>
        <v>#DIV/0!</v>
      </c>
      <c r="BH18" s="114" t="e">
        <f>AVERAGEIF('Sales Log'!$T$14:$T$212,BH2,'Sales Log'!$AB$14:$AB$212)</f>
        <v>#DIV/0!</v>
      </c>
      <c r="BI18" s="114" t="e">
        <f>AVERAGEIF('Sales Log'!$T$14:$T$212,BI2,'Sales Log'!$AB$14:$AB$212)</f>
        <v>#DIV/0!</v>
      </c>
      <c r="BJ18" s="114" t="e">
        <f>AVERAGEIF('Sales Log'!$T$14:$T$212,BJ2,'Sales Log'!$AB$14:$AB$212)</f>
        <v>#DIV/0!</v>
      </c>
      <c r="BK18" s="114" t="e">
        <f>AVERAGEIF('Sales Log'!$T$14:$T$212,BK2,'Sales Log'!$AB$14:$AB$212)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topLeftCell="A6" workbookViewId="0">
      <pane xSplit="1" topLeftCell="B1" activePane="topRight" state="frozen"/>
      <selection pane="topRight" activeCell="C2" sqref="C2"/>
    </sheetView>
  </sheetViews>
  <sheetFormatPr defaultRowHeight="15"/>
  <cols>
    <col min="1" max="1" width="37.7109375" bestFit="1" customWidth="1"/>
    <col min="2" max="2" width="13.42578125" customWidth="1"/>
    <col min="3" max="12" width="19.7109375" customWidth="1"/>
  </cols>
  <sheetData>
    <row r="1" spans="1:12" ht="22.5" customHeight="1">
      <c r="A1" s="20" t="s">
        <v>139</v>
      </c>
      <c r="B1" s="21"/>
      <c r="C1" s="43" t="s">
        <v>140</v>
      </c>
    </row>
    <row r="2" spans="1:12" ht="22.5" customHeight="1">
      <c r="A2" s="22" t="s">
        <v>93</v>
      </c>
      <c r="B2" s="22" t="s">
        <v>141</v>
      </c>
      <c r="C2" s="29" t="s">
        <v>160</v>
      </c>
      <c r="D2" s="29"/>
      <c r="E2" s="29"/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142</v>
      </c>
      <c r="B3" s="14">
        <f>COUNTIFS('Sales Log'!$I$14:$I$212,"No")/B4</f>
        <v>0.66842105263157892</v>
      </c>
      <c r="C3" s="14">
        <f>COUNTIFS('Sales Log'!$I$14:$I$212,"No",'Sales Log'!$V$14:$V$212,C2)/C4</f>
        <v>0.66666666666666663</v>
      </c>
      <c r="D3" s="14" t="e">
        <f>COUNTIFS('Sales Log'!$I$14:$I$212,"No",'Sales Log'!$V$14:$V$212,D2)/D4</f>
        <v>#DIV/0!</v>
      </c>
      <c r="E3" s="14" t="e">
        <f>COUNTIFS('Sales Log'!$I$14:$I$212,"No",'Sales Log'!$V$14:$V$212,E2)/E4</f>
        <v>#DIV/0!</v>
      </c>
      <c r="F3" s="14" t="e">
        <f>COUNTIFS('Sales Log'!$I$14:$I$212,"No",'Sales Log'!$V$14:$V$212,F2)/F4</f>
        <v>#DIV/0!</v>
      </c>
      <c r="G3" s="14" t="e">
        <f>COUNTIFS('Sales Log'!$I$14:$I$212,"No",'Sales Log'!$V$14:$V$212,G2)/G4</f>
        <v>#DIV/0!</v>
      </c>
      <c r="H3" s="14" t="e">
        <f>COUNTIFS('Sales Log'!$I$14:$I$212,"No",'Sales Log'!$V$14:$V$212,H2)/H4</f>
        <v>#DIV/0!</v>
      </c>
      <c r="I3" s="14" t="e">
        <f>COUNTIFS('Sales Log'!$I$14:$I$212,"No",'Sales Log'!$V$14:$V$212,I2)/I4</f>
        <v>#DIV/0!</v>
      </c>
      <c r="J3" s="14" t="e">
        <f>COUNTIFS('Sales Log'!$I$14:$I$212,"No",'Sales Log'!$V$14:$V$212,J2)/J4</f>
        <v>#DIV/0!</v>
      </c>
      <c r="K3" s="14" t="e">
        <f>COUNTIFS('Sales Log'!$I$14:$I$212,"No",'Sales Log'!$V$14:$V$212,K2)/K4</f>
        <v>#DIV/0!</v>
      </c>
      <c r="L3" s="14" t="e">
        <f>COUNTIFS('Sales Log'!$I$14:$I$212,"No",'Sales Log'!$V$14:$V$212,L2)/L4</f>
        <v>#DIV/0!</v>
      </c>
    </row>
    <row r="4" spans="1:12" ht="22.5" customHeight="1">
      <c r="A4" s="5" t="s">
        <v>125</v>
      </c>
      <c r="B4" s="6">
        <f>'Scoreboard Total'!B3</f>
        <v>190</v>
      </c>
      <c r="C4" s="39">
        <f>COUNTIF('Sales Log'!$V$14:$V$212,C2)</f>
        <v>189</v>
      </c>
      <c r="D4" s="39">
        <f>COUNTIF('Sales Log'!$V$14:$V$212,D2)</f>
        <v>0</v>
      </c>
      <c r="E4" s="39">
        <f>COUNTIF('Sales Log'!$V$14:$V$212,E2)</f>
        <v>0</v>
      </c>
      <c r="F4" s="39">
        <f>COUNTIF('Sales Log'!$V$14:$V$212,F2)</f>
        <v>0</v>
      </c>
      <c r="G4" s="39">
        <f>COUNTIF('Sales Log'!$V$14:$V$212,G2)</f>
        <v>0</v>
      </c>
      <c r="H4" s="39">
        <f>COUNTIF('Sales Log'!$V$14:$V$212,H2)</f>
        <v>0</v>
      </c>
      <c r="I4" s="39">
        <f>COUNTIF('Sales Log'!$V$14:$V$212,I2)</f>
        <v>0</v>
      </c>
      <c r="J4" s="39">
        <f>COUNTIF('Sales Log'!$V$14:$V$212,J2)</f>
        <v>0</v>
      </c>
      <c r="K4" s="39">
        <f>COUNTIF('Sales Log'!$V$14:$V$212,K2)</f>
        <v>0</v>
      </c>
      <c r="L4" s="39">
        <f>COUNTIF('Sales Log'!$V$14:$V$212,L2)</f>
        <v>0</v>
      </c>
    </row>
    <row r="5" spans="1:12" ht="21.75" customHeight="1">
      <c r="A5" s="5" t="s">
        <v>126</v>
      </c>
      <c r="B5" s="7">
        <f>'Sales Log'!$F$213</f>
        <v>26.7</v>
      </c>
      <c r="C5" s="24">
        <f ca="1">AVERAGEIF('Sales Log'!$V$14:$V$212,C2,'Sales Log'!$F$14:$F$208)</f>
        <v>26.730158730158731</v>
      </c>
      <c r="D5" s="24" t="e">
        <f ca="1">AVERAGEIF('Sales Log'!$V$14:$V$212,D2,'Sales Log'!$F$14:$F$208)</f>
        <v>#DIV/0!</v>
      </c>
      <c r="E5" s="24" t="e">
        <f ca="1">AVERAGEIF('Sales Log'!$V$14:$V$212,E2,'Sales Log'!$F$14:$F$208)</f>
        <v>#DIV/0!</v>
      </c>
      <c r="F5" s="24" t="e">
        <f ca="1">AVERAGEIF('Sales Log'!$V$14:$V$212,F2,'Sales Log'!$F$14:$F$208)</f>
        <v>#DIV/0!</v>
      </c>
      <c r="G5" s="24" t="e">
        <f ca="1">AVERAGEIF('Sales Log'!$V$14:$V$212,G2,'Sales Log'!$F$14:$F$208)</f>
        <v>#DIV/0!</v>
      </c>
      <c r="H5" s="24" t="e">
        <f ca="1">AVERAGEIF('Sales Log'!$V$14:$V$212,H2,'Sales Log'!$F$14:$F$208)</f>
        <v>#DIV/0!</v>
      </c>
      <c r="I5" s="24" t="e">
        <f ca="1">AVERAGEIF('Sales Log'!$V$14:$V$212,I2,'Sales Log'!$F$14:$F$208)</f>
        <v>#DIV/0!</v>
      </c>
      <c r="J5" s="24" t="e">
        <f ca="1">AVERAGEIF('Sales Log'!$V$14:$V$212,J2,'Sales Log'!$F$14:$F$208)</f>
        <v>#DIV/0!</v>
      </c>
      <c r="K5" s="24" t="e">
        <f ca="1">AVERAGEIF('Sales Log'!$V$14:$V$212,K2,'Sales Log'!$F$14:$F$208)</f>
        <v>#DIV/0!</v>
      </c>
      <c r="L5" s="24" t="e">
        <f ca="1">AVERAGEIF('Sales Log'!$V$14:$V$212,L2,'Sales Log'!$F$14:$F$208)</f>
        <v>#DIV/0!</v>
      </c>
    </row>
    <row r="6" spans="1:12" ht="22.5" customHeight="1">
      <c r="A6" s="5" t="s">
        <v>127</v>
      </c>
      <c r="B6" s="8">
        <f>'Sales Log'!$J$213</f>
        <v>27943.859526315784</v>
      </c>
      <c r="C6" s="8">
        <f>AVERAGEIF('Sales Log'!$V$14:$V$212,C2,'Sales Log'!$J$14:$J$212)</f>
        <v>27927.715925925921</v>
      </c>
      <c r="D6" s="8" t="e">
        <f>AVERAGEIF('Sales Log'!$V$14:$V$212,D2,'Sales Log'!$J$14:$J$212)</f>
        <v>#DIV/0!</v>
      </c>
      <c r="E6" s="8" t="e">
        <f>AVERAGEIF('Sales Log'!$V$14:$V$212,E2,'Sales Log'!$J$14:$J$212)</f>
        <v>#DIV/0!</v>
      </c>
      <c r="F6" s="8" t="e">
        <f>AVERAGEIF('Sales Log'!$V$14:$V$212,F2,'Sales Log'!$J$14:$J$212)</f>
        <v>#DIV/0!</v>
      </c>
      <c r="G6" s="8" t="e">
        <f>AVERAGEIF('Sales Log'!$V$14:$V$212,G2,'Sales Log'!$J$14:$J$212)</f>
        <v>#DIV/0!</v>
      </c>
      <c r="H6" s="8" t="e">
        <f>AVERAGEIF('Sales Log'!$V$14:$V$212,H2,'Sales Log'!$J$14:$J$212)</f>
        <v>#DIV/0!</v>
      </c>
      <c r="I6" s="8" t="e">
        <f>AVERAGEIF('Sales Log'!$V$14:$V$212,I2,'Sales Log'!$J$14:$J$212)</f>
        <v>#DIV/0!</v>
      </c>
      <c r="J6" s="8" t="e">
        <f>AVERAGEIF('Sales Log'!$V$14:$V$212,J2,'Sales Log'!$J$14:$J$212)</f>
        <v>#DIV/0!</v>
      </c>
      <c r="K6" s="8" t="e">
        <f>AVERAGEIF('Sales Log'!$V$14:$V$212,K2,'Sales Log'!$J$14:$J$212)</f>
        <v>#DIV/0!</v>
      </c>
      <c r="L6" s="8" t="e">
        <f>AVERAGEIF('Sales Log'!$V$14:$V$212,L2,'Sales Log'!$J$14:$J$212)</f>
        <v>#DIV/0!</v>
      </c>
    </row>
    <row r="7" spans="1:12" ht="22.5" customHeight="1">
      <c r="A7" s="5" t="s">
        <v>128</v>
      </c>
      <c r="B7" s="8">
        <f>'Sales Log'!$K$213</f>
        <v>27871.358526315784</v>
      </c>
      <c r="C7" s="8">
        <f>AVERAGEIF('Sales Log'!$V$14:$V$212,C2,'Sales Log'!$K$14:$K$212)</f>
        <v>27849.540317460313</v>
      </c>
      <c r="D7" s="8" t="e">
        <f>AVERAGEIF('Sales Log'!$V$14:$V$212,D2,'Sales Log'!$K$14:$K$212)</f>
        <v>#DIV/0!</v>
      </c>
      <c r="E7" s="8" t="e">
        <f>AVERAGEIF('Sales Log'!$V$14:$V$212,E2,'Sales Log'!$K$14:$K$212)</f>
        <v>#DIV/0!</v>
      </c>
      <c r="F7" s="8" t="e">
        <f>AVERAGEIF('Sales Log'!$V$14:$V$212,F2,'Sales Log'!$K$14:$K$212)</f>
        <v>#DIV/0!</v>
      </c>
      <c r="G7" s="8" t="e">
        <f>AVERAGEIF('Sales Log'!$V$14:$V$212,G2,'Sales Log'!$K$14:$K$212)</f>
        <v>#DIV/0!</v>
      </c>
      <c r="H7" s="8" t="e">
        <f>AVERAGEIF('Sales Log'!$V$14:$V$212,H2,'Sales Log'!$K$14:$K$212)</f>
        <v>#DIV/0!</v>
      </c>
      <c r="I7" s="8" t="e">
        <f>AVERAGEIF('Sales Log'!$V$14:$V$212,I2,'Sales Log'!$K$14:$K$212)</f>
        <v>#DIV/0!</v>
      </c>
      <c r="J7" s="8" t="e">
        <f>AVERAGEIF('Sales Log'!$V$14:$V$212,J2,'Sales Log'!$K$14:$K$212)</f>
        <v>#DIV/0!</v>
      </c>
      <c r="K7" s="8" t="e">
        <f>AVERAGEIF('Sales Log'!$V$14:$V$212,K2,'Sales Log'!$K$14:$K$212)</f>
        <v>#DIV/0!</v>
      </c>
      <c r="L7" s="8" t="e">
        <f>AVERAGEIF('Sales Log'!$V$14:$V$212,L2,'Sales Log'!$K$14:$K$212)</f>
        <v>#DIV/0!</v>
      </c>
    </row>
    <row r="8" spans="1:12" ht="22.5" customHeight="1">
      <c r="A8" s="5" t="s">
        <v>129</v>
      </c>
      <c r="B8" s="8">
        <f>'Sales Log'!$M$213</f>
        <v>27971.831357673447</v>
      </c>
      <c r="C8" s="8">
        <f>AVERAGEIF('Sales Log'!$V$14:$V$212,C2,'Sales Log'!$M$14:$M$212)</f>
        <v>28022.57913502392</v>
      </c>
      <c r="D8" s="8" t="e">
        <f>AVERAGEIF('Sales Log'!$V$14:$V$212,D2,'Sales Log'!$M$14:$M$212)</f>
        <v>#DIV/0!</v>
      </c>
      <c r="E8" s="8" t="e">
        <f>AVERAGEIF('Sales Log'!$V$14:$V$212,E2,'Sales Log'!$M$14:$M$212)</f>
        <v>#DIV/0!</v>
      </c>
      <c r="F8" s="8" t="e">
        <f>AVERAGEIF('Sales Log'!$V$14:$V$212,F2,'Sales Log'!$M$14:$M$212)</f>
        <v>#DIV/0!</v>
      </c>
      <c r="G8" s="8" t="e">
        <f>AVERAGEIF('Sales Log'!$V$14:$V$212,G2,'Sales Log'!$M$14:$M$212)</f>
        <v>#DIV/0!</v>
      </c>
      <c r="H8" s="8" t="e">
        <f>AVERAGEIF('Sales Log'!$V$14:$V$212,H2,'Sales Log'!$M$14:$M$212)</f>
        <v>#DIV/0!</v>
      </c>
      <c r="I8" s="8" t="e">
        <f>AVERAGEIF('Sales Log'!$V$14:$V$212,I2,'Sales Log'!$M$14:$M$212)</f>
        <v>#DIV/0!</v>
      </c>
      <c r="J8" s="8" t="e">
        <f>AVERAGEIF('Sales Log'!$V$14:$V$212,J2,'Sales Log'!$M$14:$M$212)</f>
        <v>#DIV/0!</v>
      </c>
      <c r="K8" s="8" t="e">
        <f>AVERAGEIF('Sales Log'!$V$14:$V$212,K2,'Sales Log'!$M$14:$M$212)</f>
        <v>#DIV/0!</v>
      </c>
      <c r="L8" s="8" t="e">
        <f>AVERAGEIF('Sales Log'!$V$14:$V$212,L2,'Sales Log'!$M$14:$M$212)</f>
        <v>#DIV/0!</v>
      </c>
    </row>
    <row r="9" spans="1:12" ht="22.5" customHeight="1">
      <c r="A9" s="5" t="s">
        <v>130</v>
      </c>
      <c r="B9" s="9">
        <f>'Sales Log'!L213</f>
        <v>0.99900000000000033</v>
      </c>
      <c r="C9" s="14">
        <f>C6/C8</f>
        <v>0.99661475809771438</v>
      </c>
      <c r="D9" s="14" t="e">
        <f t="shared" ref="D9:L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131</v>
      </c>
      <c r="B10" s="9">
        <f>'Sales Log'!$N$213</f>
        <v>0.99640807103142714</v>
      </c>
      <c r="C10" s="14">
        <f>C7/C8</f>
        <v>0.99382502171802822</v>
      </c>
      <c r="D10" s="14" t="e">
        <f t="shared" ref="D10:L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132</v>
      </c>
      <c r="B11" s="8">
        <f>'Sales Log'!$O$213</f>
        <v>72.501000000000005</v>
      </c>
      <c r="C11" s="8">
        <f>AVERAGEIF('Sales Log'!$V$14:$V$212,C2,'Sales Log'!$O$14:$O$212)</f>
        <v>78.175608465608462</v>
      </c>
      <c r="D11" s="8" t="e">
        <f>AVERAGEIF('Sales Log'!$V$14:$V$212,D2,'Sales Log'!$O$14:$O$212)</f>
        <v>#DIV/0!</v>
      </c>
      <c r="E11" s="8" t="e">
        <f>AVERAGEIF('Sales Log'!$V$14:$V$212,E2,'Sales Log'!$O$14:$O$212)</f>
        <v>#DIV/0!</v>
      </c>
      <c r="F11" s="8" t="e">
        <f>AVERAGEIF('Sales Log'!$V$14:$V$212,F2,'Sales Log'!$O$14:$O$212)</f>
        <v>#DIV/0!</v>
      </c>
      <c r="G11" s="8" t="e">
        <f>AVERAGEIF('Sales Log'!$V$14:$V$212,G2,'Sales Log'!$O$14:$O$212)</f>
        <v>#DIV/0!</v>
      </c>
      <c r="H11" s="8" t="e">
        <f>AVERAGEIF('Sales Log'!$V$14:$V$212,H2,'Sales Log'!$O$14:$O$212)</f>
        <v>#DIV/0!</v>
      </c>
      <c r="I11" s="8" t="e">
        <f>AVERAGEIF('Sales Log'!$V$14:$V$212,I2,'Sales Log'!$O$14:$O$212)</f>
        <v>#DIV/0!</v>
      </c>
      <c r="J11" s="8" t="e">
        <f>AVERAGEIF('Sales Log'!$V$14:$V$212,J2,'Sales Log'!$O$14:$O$212)</f>
        <v>#DIV/0!</v>
      </c>
      <c r="K11" s="8" t="e">
        <f>AVERAGEIF('Sales Log'!$V$14:$V$212,K2,'Sales Log'!$O$14:$O$212)</f>
        <v>#DIV/0!</v>
      </c>
      <c r="L11" s="8" t="e">
        <f>AVERAGEIF('Sales Log'!$V$14:$V$212,L2,'Sales Log'!$O$14:$O$212)</f>
        <v>#DIV/0!</v>
      </c>
    </row>
    <row r="12" spans="1:12" ht="22.5" customHeight="1">
      <c r="A12" s="5" t="s">
        <v>133</v>
      </c>
      <c r="B12" s="8">
        <f>'Sales Log'!$P$213</f>
        <v>3386.0526842105269</v>
      </c>
      <c r="C12" s="8">
        <f>AVERAGEIF('Sales Log'!$V$14:$V$212,C2,'Sales Log'!$P$14:$P$212)</f>
        <v>3376.8143386243396</v>
      </c>
      <c r="D12" s="8" t="e">
        <f>AVERAGEIF('Sales Log'!$V$14:$V$212,D2,'Sales Log'!$P$14:$P$212)</f>
        <v>#DIV/0!</v>
      </c>
      <c r="E12" s="8" t="e">
        <f>AVERAGEIF('Sales Log'!$V$14:$V$212,E2,'Sales Log'!$P$14:$P$212)</f>
        <v>#DIV/0!</v>
      </c>
      <c r="F12" s="8" t="e">
        <f>AVERAGEIF('Sales Log'!$V$14:$V$212,F2,'Sales Log'!$P$14:$P$212)</f>
        <v>#DIV/0!</v>
      </c>
      <c r="G12" s="8" t="e">
        <f>AVERAGEIF('Sales Log'!$V$14:$V$212,G2,'Sales Log'!$P$14:$P$212)</f>
        <v>#DIV/0!</v>
      </c>
      <c r="H12" s="8" t="e">
        <f>AVERAGEIF('Sales Log'!$V$14:$V$212,H2,'Sales Log'!$P$14:$P$212)</f>
        <v>#DIV/0!</v>
      </c>
      <c r="I12" s="8" t="e">
        <f>AVERAGEIF('Sales Log'!$V$14:$V$212,I2,'Sales Log'!$P$14:$P$212)</f>
        <v>#DIV/0!</v>
      </c>
      <c r="J12" s="8" t="e">
        <f>AVERAGEIF('Sales Log'!$V$14:$V$212,J2,'Sales Log'!$P$14:$P$212)</f>
        <v>#DIV/0!</v>
      </c>
      <c r="K12" s="8" t="e">
        <f>AVERAGEIF('Sales Log'!$V$14:$V$212,K2,'Sales Log'!$P$14:$P$212)</f>
        <v>#DIV/0!</v>
      </c>
      <c r="L12" s="8" t="e">
        <f>AVERAGEIF('Sales Log'!$V$14:$V$212,L2,'Sales Log'!$P$14:$P$212)</f>
        <v>#DIV/0!</v>
      </c>
    </row>
    <row r="13" spans="1:12" ht="22.5" customHeight="1">
      <c r="A13" s="5" t="s">
        <v>134</v>
      </c>
      <c r="B13" s="8">
        <f>'Sales Log'!$Q$213</f>
        <v>2496.6004574468079</v>
      </c>
      <c r="C13" s="8">
        <f>AVERAGEIF('Sales Log'!$V$14:$V$212,C2,'Sales Log'!$Q$14:$Q$212)</f>
        <v>2462.860566844919</v>
      </c>
      <c r="D13" s="8" t="e">
        <f>AVERAGEIF('Sales Log'!$V$14:$V$212,D2,'Sales Log'!$Q$14:$Q$212)</f>
        <v>#DIV/0!</v>
      </c>
      <c r="E13" s="8" t="e">
        <f>AVERAGEIF('Sales Log'!$V$14:$V$212,E2,'Sales Log'!$Q$14:$Q$212)</f>
        <v>#DIV/0!</v>
      </c>
      <c r="F13" s="8" t="e">
        <f>AVERAGEIF('Sales Log'!$V$14:$V$212,F2,'Sales Log'!$Q$14:$Q$212)</f>
        <v>#DIV/0!</v>
      </c>
      <c r="G13" s="8" t="e">
        <f>AVERAGEIF('Sales Log'!$V$14:$V$212,G2,'Sales Log'!$Q$14:$Q$212)</f>
        <v>#DIV/0!</v>
      </c>
      <c r="H13" s="8" t="e">
        <f>AVERAGEIF('Sales Log'!$V$14:$V$212,H2,'Sales Log'!$Q$14:$Q$212)</f>
        <v>#DIV/0!</v>
      </c>
      <c r="I13" s="8" t="e">
        <f>AVERAGEIF('Sales Log'!$V$14:$V$212,I2,'Sales Log'!$Q$14:$Q$212)</f>
        <v>#DIV/0!</v>
      </c>
      <c r="J13" s="8" t="e">
        <f>AVERAGEIF('Sales Log'!$V$14:$V$212,J2,'Sales Log'!$Q$14:$Q$212)</f>
        <v>#DIV/0!</v>
      </c>
      <c r="K13" s="8" t="e">
        <f>AVERAGEIF('Sales Log'!$V$14:$V$212,K2,'Sales Log'!$Q$14:$Q$212)</f>
        <v>#DIV/0!</v>
      </c>
      <c r="L13" s="8" t="e">
        <f>AVERAGEIF('Sales Log'!$V$14:$V$212,L2,'Sales Log'!$Q$14:$Q$212)</f>
        <v>#DIV/0!</v>
      </c>
    </row>
    <row r="14" spans="1:12" ht="22.5" customHeight="1">
      <c r="A14" s="5" t="s">
        <v>135</v>
      </c>
      <c r="B14" s="8">
        <f>'Sales Log'!$R$213</f>
        <v>5856.3731368421086</v>
      </c>
      <c r="C14" s="8">
        <f>AVERAGEIF('Sales Log'!$V$14:$V$212,C2,'Sales Log'!$R$14:$R$212)</f>
        <v>5813.6128888888916</v>
      </c>
      <c r="D14" s="8" t="e">
        <f>AVERAGEIF('Sales Log'!$V$14:$V$212,D2,'Sales Log'!$R$14:$R$212)</f>
        <v>#DIV/0!</v>
      </c>
      <c r="E14" s="8" t="e">
        <f>AVERAGEIF('Sales Log'!$V$14:$V$212,E2,'Sales Log'!$R$14:$R$212)</f>
        <v>#DIV/0!</v>
      </c>
      <c r="F14" s="8" t="e">
        <f>AVERAGEIF('Sales Log'!$V$14:$V$212,F2,'Sales Log'!$R$14:$R$212)</f>
        <v>#DIV/0!</v>
      </c>
      <c r="G14" s="8" t="e">
        <f>AVERAGEIF('Sales Log'!$V$14:$V$212,G2,'Sales Log'!$R$14:$R$212)</f>
        <v>#DIV/0!</v>
      </c>
      <c r="H14" s="8" t="e">
        <f>AVERAGEIF('Sales Log'!$V$14:$V$212,H2,'Sales Log'!$R$14:$R$212)</f>
        <v>#DIV/0!</v>
      </c>
      <c r="I14" s="8" t="e">
        <f>AVERAGEIF('Sales Log'!$V$14:$V$212,I2,'Sales Log'!$R$14:$R$212)</f>
        <v>#DIV/0!</v>
      </c>
      <c r="J14" s="8" t="e">
        <f>AVERAGEIF('Sales Log'!$V$14:$V$212,J2,'Sales Log'!$R$14:$R$212)</f>
        <v>#DIV/0!</v>
      </c>
      <c r="K14" s="8" t="e">
        <f>AVERAGEIF('Sales Log'!$V$14:$V$212,K2,'Sales Log'!$R$14:$R$212)</f>
        <v>#DIV/0!</v>
      </c>
      <c r="L14" s="8" t="e">
        <f>AVERAGEIF('Sales Log'!$V$14:$V$212,L2,'Sales Log'!$R$14:$R$212)</f>
        <v>#DIV/0!</v>
      </c>
    </row>
    <row r="15" spans="1:12" ht="21.75" customHeight="1">
      <c r="A15" s="5" t="s">
        <v>136</v>
      </c>
      <c r="B15" s="10">
        <f t="shared" ref="B15:L15" si="2">B14*B4</f>
        <v>1112710.8960000006</v>
      </c>
      <c r="C15" s="10">
        <f t="shared" si="2"/>
        <v>1098772.8360000006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90</v>
      </c>
      <c r="B16" s="9">
        <f>(B14/(B7)*(360/B5))</f>
        <v>2.8330995905627123</v>
      </c>
      <c r="C16" s="9">
        <f t="shared" ref="C16:L16" ca="1" si="3">(C14/(C7)*(360/C5))</f>
        <v>2.8114414400182444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137</v>
      </c>
      <c r="B17" s="9">
        <f>'Sales Log'!AA213/'Scoreboard Total'!B3</f>
        <v>0.58421052631578951</v>
      </c>
      <c r="C17" s="9">
        <f>COUNTIFS('Sales Log'!$V$14:$V$212,'Scoreboard DM'!C$2,'Sales Log'!$AA$14:$AA$212,"Yes")/C$4</f>
        <v>0</v>
      </c>
      <c r="D17" s="9" t="e">
        <f>COUNTIFS('Sales Log'!$V$14:$V$212,'Scoreboard DM'!D$2,'Sales Log'!$AA$14:$AA$212,"Yes")/D$4</f>
        <v>#DIV/0!</v>
      </c>
      <c r="E17" s="9" t="e">
        <f>COUNTIFS('Sales Log'!$V$14:$V$212,'Scoreboard DM'!E$2,'Sales Log'!$AA$14:$AA$212,"Yes")/E$4</f>
        <v>#DIV/0!</v>
      </c>
      <c r="F17" s="9" t="e">
        <f>COUNTIFS('Sales Log'!$V$14:$V$212,'Scoreboard DM'!F$2,'Sales Log'!$AA$14:$AA$212,"Yes")/F$4</f>
        <v>#DIV/0!</v>
      </c>
      <c r="G17" s="9" t="e">
        <f>COUNTIFS('Sales Log'!$V$14:$V$212,'Scoreboard DM'!G$2,'Sales Log'!$AA$14:$AA$212,"Yes")/G$4</f>
        <v>#DIV/0!</v>
      </c>
      <c r="H17" s="9" t="e">
        <f>COUNTIFS('Sales Log'!$V$14:$V$212,'Scoreboard DM'!H$2,'Sales Log'!$AA$14:$AA$212,"Yes")/H$4</f>
        <v>#DIV/0!</v>
      </c>
      <c r="I17" s="9" t="e">
        <f>COUNTIFS('Sales Log'!$V$14:$V$212,'Scoreboard DM'!I$2,'Sales Log'!$AA$14:$AA$212,"Yes")/I$4</f>
        <v>#DIV/0!</v>
      </c>
      <c r="J17" s="9" t="e">
        <f>COUNTIFS('Sales Log'!$V$14:$V$212,'Scoreboard DM'!J$2,'Sales Log'!$AA$14:$AA$212,"Yes")/J$4</f>
        <v>#DIV/0!</v>
      </c>
      <c r="K17" s="9" t="e">
        <f>COUNTIFS('Sales Log'!$V$14:$V$212,'Scoreboard DM'!K$2,'Sales Log'!$AA$14:$AA$212,"Yes")/K$4</f>
        <v>#DIV/0!</v>
      </c>
      <c r="L17" s="9" t="e">
        <f>COUNTIFS('Sales Log'!$V$14:$V$212,'Scoreboard DM'!L$2,'Sales Log'!$AA$14:$AA$212,"Yes")/L$4</f>
        <v>#DIV/0!</v>
      </c>
    </row>
    <row r="18" spans="1:12" ht="21.75" customHeight="1">
      <c r="A18" s="5" t="s">
        <v>138</v>
      </c>
      <c r="B18" s="114">
        <f>'Sales Log'!$AB$213</f>
        <v>675.559732142857</v>
      </c>
      <c r="C18" s="114">
        <f>AVERAGEIF('Sales Log'!$V$14:$V$212,C2,'Sales Log'!$AB$14:$AB$212)</f>
        <v>693.86207207207201</v>
      </c>
      <c r="D18" s="114" t="e">
        <f>AVERAGEIF('Sales Log'!$V$14:$V$212,D2,'Sales Log'!$AB$14:$AB$212)</f>
        <v>#DIV/0!</v>
      </c>
      <c r="E18" s="114" t="e">
        <f>AVERAGEIF('Sales Log'!$V$14:$V$212,E2,'Sales Log'!$AB$14:$AB$212)</f>
        <v>#DIV/0!</v>
      </c>
      <c r="F18" s="114" t="e">
        <f>AVERAGEIF('Sales Log'!$V$14:$V$212,F2,'Sales Log'!$AB$14:$AB$212)</f>
        <v>#DIV/0!</v>
      </c>
      <c r="G18" s="114" t="e">
        <f>AVERAGEIF('Sales Log'!$V$14:$V$212,G2,'Sales Log'!$AB$14:$AB$212)</f>
        <v>#DIV/0!</v>
      </c>
      <c r="H18" s="114" t="e">
        <f>AVERAGEIF('Sales Log'!$V$14:$V$212,H2,'Sales Log'!$AB$14:$AB$212)</f>
        <v>#DIV/0!</v>
      </c>
      <c r="I18" s="114" t="e">
        <f>AVERAGEIF('Sales Log'!$V$14:$V$212,I2,'Sales Log'!$AB$14:$AB$212)</f>
        <v>#DIV/0!</v>
      </c>
      <c r="J18" s="114" t="e">
        <f>AVERAGEIF('Sales Log'!$V$14:$V$212,J2,'Sales Log'!$AB$14:$AB$212)</f>
        <v>#DIV/0!</v>
      </c>
      <c r="K18" s="114" t="e">
        <f>AVERAGEIF('Sales Log'!$V$14:$V$212,K2,'Sales Log'!$AB$14:$AB$212)</f>
        <v>#DIV/0!</v>
      </c>
      <c r="L18" s="114" t="e">
        <f>AVERAGEIF('Sales Log'!$V$14:$V$212,L2,'Sales Log'!$AB$14:$AB$212)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139</v>
      </c>
      <c r="B1" s="26"/>
      <c r="C1" s="27"/>
      <c r="D1" s="27"/>
    </row>
    <row r="2" spans="1:4" ht="22.5" customHeight="1">
      <c r="A2" s="28" t="s">
        <v>79</v>
      </c>
      <c r="B2" s="28" t="s">
        <v>141</v>
      </c>
      <c r="C2" s="23" t="s">
        <v>108</v>
      </c>
      <c r="D2" s="23" t="s">
        <v>104</v>
      </c>
    </row>
    <row r="3" spans="1:4" ht="22.5" customHeight="1">
      <c r="A3" s="5" t="s">
        <v>125</v>
      </c>
      <c r="B3" s="6">
        <f>'Sales Log'!D213</f>
        <v>190</v>
      </c>
      <c r="C3" s="6">
        <f>COUNTIF('Sales Log'!$H$14:$H$212,C2)</f>
        <v>0</v>
      </c>
      <c r="D3" s="6">
        <f>COUNTIF('Sales Log'!$H$14:$H$212,D2)</f>
        <v>190</v>
      </c>
    </row>
    <row r="4" spans="1:4" ht="22.5" customHeight="1">
      <c r="A4" s="5" t="s">
        <v>126</v>
      </c>
      <c r="B4" s="7">
        <f>'Sales Log'!$F$213</f>
        <v>26.7</v>
      </c>
      <c r="C4" s="24" t="e">
        <f ca="1">AVERAGEIF('Sales Log'!$H$14:$H$212,C2,'Sales Log'!$F$14:$F$208)</f>
        <v>#DIV/0!</v>
      </c>
      <c r="D4" s="24">
        <f ca="1">AVERAGEIF('Sales Log'!$H$14:$H$212,D2,'Sales Log'!$F$14:$F$208)</f>
        <v>26.7</v>
      </c>
    </row>
    <row r="5" spans="1:4" ht="22.5" customHeight="1">
      <c r="A5" s="5" t="s">
        <v>127</v>
      </c>
      <c r="B5" s="8">
        <f>'Sales Log'!$J$213</f>
        <v>27943.859526315784</v>
      </c>
      <c r="C5" s="8" t="e">
        <f>AVERAGEIF('Sales Log'!$H$14:$H$212,C2,'Sales Log'!J14:J212)</f>
        <v>#DIV/0!</v>
      </c>
      <c r="D5" s="8">
        <f>AVERAGEIF('Sales Log'!$H$14:$H$212,D2,'Sales Log'!K14:K212)</f>
        <v>27871.358526315784</v>
      </c>
    </row>
    <row r="6" spans="1:4" ht="22.5" customHeight="1">
      <c r="A6" s="5" t="s">
        <v>128</v>
      </c>
      <c r="B6" s="8">
        <f>'Sales Log'!$K$213</f>
        <v>27871.358526315784</v>
      </c>
      <c r="C6" s="8" t="e">
        <f>AVERAGEIF('Sales Log'!$H$14:$H$212,C2,'Sales Log'!$K$14:$K$212)</f>
        <v>#DIV/0!</v>
      </c>
      <c r="D6" s="8">
        <f>AVERAGEIF('Sales Log'!$H$14:$H$212,D2,'Sales Log'!$K$14:$K$212)</f>
        <v>27871.358526315784</v>
      </c>
    </row>
    <row r="7" spans="1:4" ht="22.5" customHeight="1">
      <c r="A7" s="5" t="s">
        <v>129</v>
      </c>
      <c r="B7" s="8">
        <f>'Sales Log'!$M$213</f>
        <v>27971.831357673447</v>
      </c>
      <c r="C7" s="8" t="e">
        <f>AVERAGEIF('Sales Log'!$H$14:$H$212,C2,'Sales Log'!$M$14:$M$212)</f>
        <v>#DIV/0!</v>
      </c>
      <c r="D7" s="8">
        <f>AVERAGEIF('Sales Log'!$H$14:$H$212,D2,'Sales Log'!$M$14:$M$212)</f>
        <v>28038.2234553659</v>
      </c>
    </row>
    <row r="8" spans="1:4" ht="22.5" customHeight="1">
      <c r="A8" s="5" t="s">
        <v>130</v>
      </c>
      <c r="B8" s="9">
        <f>'Sales Log'!L213</f>
        <v>0.99900000000000033</v>
      </c>
      <c r="C8" s="14" t="e">
        <f>C5/C7</f>
        <v>#DIV/0!</v>
      </c>
      <c r="D8" s="14">
        <f>D5/D7</f>
        <v>0.99404866255824842</v>
      </c>
    </row>
    <row r="9" spans="1:4" ht="22.5" customHeight="1">
      <c r="A9" s="5" t="s">
        <v>131</v>
      </c>
      <c r="B9" s="9">
        <f>'Sales Log'!$N$213</f>
        <v>0.99640807103142714</v>
      </c>
      <c r="C9" s="14" t="e">
        <f>C6/C7</f>
        <v>#DIV/0!</v>
      </c>
      <c r="D9" s="14">
        <f>D6/D7</f>
        <v>0.99404866255824842</v>
      </c>
    </row>
    <row r="10" spans="1:4" ht="22.5" customHeight="1">
      <c r="A10" s="5" t="s">
        <v>132</v>
      </c>
      <c r="B10" s="8">
        <f>'Sales Log'!$O$213</f>
        <v>72.501000000000005</v>
      </c>
      <c r="C10" s="8" t="e">
        <f>AVERAGEIF('Sales Log'!$H$14:$H$212,C2,'Sales Log'!$O$14:$O$212)</f>
        <v>#DIV/0!</v>
      </c>
      <c r="D10" s="8">
        <f>AVERAGEIF('Sales Log'!$H$14:$H$212,D2,'Sales Log'!$O$14:$O$212)</f>
        <v>72.501000000000005</v>
      </c>
    </row>
    <row r="11" spans="1:4" ht="22.5" customHeight="1">
      <c r="A11" s="5" t="s">
        <v>133</v>
      </c>
      <c r="B11" s="8">
        <f>'Sales Log'!$P$213</f>
        <v>3386.0526842105269</v>
      </c>
      <c r="C11" s="8" t="e">
        <f>AVERAGEIF('Sales Log'!$H$14:$H$212,C2,'Sales Log'!$P$14:$P$212)</f>
        <v>#DIV/0!</v>
      </c>
      <c r="D11" s="8">
        <f>AVERAGEIF('Sales Log'!$H$14:$H$212,D2,'Sales Log'!$P$14:$P$212)</f>
        <v>3386.0526842105269</v>
      </c>
    </row>
    <row r="12" spans="1:4" ht="22.5" customHeight="1">
      <c r="A12" s="5" t="s">
        <v>134</v>
      </c>
      <c r="B12" s="8">
        <f>'Sales Log'!$Q$213</f>
        <v>2496.6004574468079</v>
      </c>
      <c r="C12" s="8" t="e">
        <f>AVERAGEIF('Sales Log'!$H$14:$H$212,C2,'Sales Log'!$Q$14:$Q$212)</f>
        <v>#DIV/0!</v>
      </c>
      <c r="D12" s="8">
        <f>AVERAGEIF('Sales Log'!$H$14:$H$212,D2,'Sales Log'!$Q$14:$Q$212)</f>
        <v>2496.6004574468079</v>
      </c>
    </row>
    <row r="13" spans="1:4" ht="22.5" customHeight="1">
      <c r="A13" s="5" t="s">
        <v>135</v>
      </c>
      <c r="B13" s="8">
        <f>'Sales Log'!$R$213</f>
        <v>5856.3731368421086</v>
      </c>
      <c r="C13" s="8" t="e">
        <f>AVERAGEIF('Sales Log'!$H$14:$H$212,C2,'Sales Log'!$R$14:$R$212)</f>
        <v>#DIV/0!</v>
      </c>
      <c r="D13" s="8">
        <f>AVERAGEIF('Sales Log'!$H$14:$H$212,D2,'Sales Log'!$R$14:$R$212)</f>
        <v>5856.3731368421086</v>
      </c>
    </row>
    <row r="14" spans="1:4" ht="22.5" customHeight="1">
      <c r="A14" s="5" t="s">
        <v>136</v>
      </c>
      <c r="B14" s="10">
        <f>B13*B3</f>
        <v>1112710.8960000006</v>
      </c>
      <c r="C14" s="10" t="e">
        <f>C13*C3</f>
        <v>#DIV/0!</v>
      </c>
      <c r="D14" s="10">
        <f t="shared" ref="D14" si="0">D13*D3</f>
        <v>1112710.8960000006</v>
      </c>
    </row>
    <row r="15" spans="1:4" ht="22.5" customHeight="1">
      <c r="A15" s="5" t="s">
        <v>90</v>
      </c>
      <c r="B15" s="9">
        <f>(B13/(B6)*(360/B4))</f>
        <v>2.8330995905627123</v>
      </c>
      <c r="C15" s="9" t="e">
        <f t="shared" ref="C15:D15" ca="1" si="1">(C13/(C6)*(360/C4))</f>
        <v>#DIV/0!</v>
      </c>
      <c r="D15" s="9">
        <f t="shared" ca="1" si="1"/>
        <v>2.8330995905627123</v>
      </c>
    </row>
    <row r="16" spans="1:4" ht="22.5" customHeight="1">
      <c r="A16" s="5" t="s">
        <v>137</v>
      </c>
      <c r="B16" s="9">
        <f>'Sales Log'!AA213/'Scoreboard Total'!B3</f>
        <v>0.58421052631578951</v>
      </c>
      <c r="C16" s="9" t="e">
        <f>COUNTIFS('Sales Log'!$H$14:$H$212,C2,'Sales Log'!$AA$14:$AA$212,"Yes")/C$3</f>
        <v>#DIV/0!</v>
      </c>
      <c r="D16" s="9">
        <f>COUNTIFS('Sales Log'!$H$14:$H$212,D2,'Sales Log'!$AA$14:$AA$212,"Yes")/D$3</f>
        <v>0.58421052631578951</v>
      </c>
    </row>
    <row r="17" spans="1:4" ht="22.5" customHeight="1">
      <c r="A17" s="5" t="s">
        <v>138</v>
      </c>
      <c r="B17" s="114">
        <f>'Sales Log'!$AB$213</f>
        <v>675.559732142857</v>
      </c>
      <c r="C17" s="114" t="e">
        <f>AVERAGEIF('Sales Log'!$H$14:$H$212,C2,'Sales Log'!$AB$14:$AB$212)</f>
        <v>#DIV/0!</v>
      </c>
      <c r="D17" s="114">
        <f>AVERAGEIF('Sales Log'!$H$14:$H$212,D2,'Sales Log'!$AB$14:$AB$212)</f>
        <v>675.559732142857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zoomScaleNormal="100" workbookViewId="0">
      <selection activeCell="D17" sqref="D17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139</v>
      </c>
      <c r="B1" s="26"/>
      <c r="C1" s="27"/>
      <c r="D1" s="27"/>
    </row>
    <row r="2" spans="1:4" ht="22.5" customHeight="1">
      <c r="A2" s="28" t="s">
        <v>80</v>
      </c>
      <c r="B2" s="28" t="s">
        <v>141</v>
      </c>
      <c r="C2" s="23" t="s">
        <v>108</v>
      </c>
      <c r="D2" s="23" t="s">
        <v>104</v>
      </c>
    </row>
    <row r="3" spans="1:4" ht="22.5" customHeight="1">
      <c r="A3" s="5" t="s">
        <v>125</v>
      </c>
      <c r="B3" s="6">
        <f>'Sales Log'!D213</f>
        <v>190</v>
      </c>
      <c r="C3" s="6">
        <f>COUNTIF('Sales Log'!$I$14:$I$212,C2)</f>
        <v>62</v>
      </c>
      <c r="D3" s="6">
        <f>COUNTIF('Sales Log'!$I$14:$I$212,D2)</f>
        <v>127</v>
      </c>
    </row>
    <row r="4" spans="1:4" ht="22.5" customHeight="1">
      <c r="A4" s="5" t="s">
        <v>126</v>
      </c>
      <c r="B4" s="7">
        <f>'Sales Log'!$F$213</f>
        <v>26.7</v>
      </c>
      <c r="C4" s="24">
        <f ca="1">AVERAGEIF('Sales Log'!$I$14:$I$212,C2,'Sales Log'!$F$14:$F$208)</f>
        <v>29.225806451612904</v>
      </c>
      <c r="D4" s="24">
        <f ca="1">AVERAGEIF('Sales Log'!$I$14:$I$212,D2,'Sales Log'!$F$14:$F$208)</f>
        <v>25.622047244094489</v>
      </c>
    </row>
    <row r="5" spans="1:4" ht="22.5" customHeight="1">
      <c r="A5" s="5" t="s">
        <v>127</v>
      </c>
      <c r="B5" s="8">
        <f>'Sales Log'!$J$213</f>
        <v>27943.859526315784</v>
      </c>
      <c r="C5" s="8">
        <f>AVERAGEIF('Sales Log'!$I$14:$I$212,C2,'Sales Log'!J14:J212)</f>
        <v>29863.973548387094</v>
      </c>
      <c r="D5" s="8">
        <f>AVERAGEIF('Sales Log'!$I$14:$I$212,D2,'Sales Log'!K14:K212)</f>
        <v>26962.061102362208</v>
      </c>
    </row>
    <row r="6" spans="1:4" ht="22.5" customHeight="1">
      <c r="A6" s="5" t="s">
        <v>128</v>
      </c>
      <c r="B6" s="8">
        <f>'Sales Log'!$K$213</f>
        <v>27871.358526315784</v>
      </c>
      <c r="C6" s="8">
        <f>AVERAGEIF('Sales Log'!$I$14:$I$212,C2,'Sales Log'!$K$14:$K$212)</f>
        <v>29830.263870967741</v>
      </c>
      <c r="D6" s="8">
        <f>AVERAGEIF('Sales Log'!$I$14:$I$212,D2,'Sales Log'!$K$14:$K$212)</f>
        <v>26962.061102362208</v>
      </c>
    </row>
    <row r="7" spans="1:4" ht="22.5" customHeight="1">
      <c r="A7" s="5" t="s">
        <v>129</v>
      </c>
      <c r="B7" s="8">
        <f>'Sales Log'!$M$213</f>
        <v>27971.831357673447</v>
      </c>
      <c r="C7" s="8">
        <f>AVERAGEIF('Sales Log'!$I$14:$I$212,C2,'Sales Log'!$M$14:$M$212)</f>
        <v>30100.59275328794</v>
      </c>
      <c r="D7" s="8">
        <f>AVERAGEIF('Sales Log'!$I$14:$I$212,D2,'Sales Log'!$M$14:$M$212)</f>
        <v>27066.750541093668</v>
      </c>
    </row>
    <row r="8" spans="1:4" ht="22.5" customHeight="1">
      <c r="A8" s="5" t="s">
        <v>130</v>
      </c>
      <c r="B8" s="9">
        <f>'Sales Log'!L213</f>
        <v>0.99900000000000033</v>
      </c>
      <c r="C8" s="14">
        <f>C5/C7</f>
        <v>0.99213905165123373</v>
      </c>
      <c r="D8" s="14">
        <f>D5/D7</f>
        <v>0.99613217557931388</v>
      </c>
    </row>
    <row r="9" spans="1:4" ht="22.5" customHeight="1">
      <c r="A9" s="5" t="s">
        <v>131</v>
      </c>
      <c r="B9" s="9">
        <f>'Sales Log'!$N$213</f>
        <v>0.99640807103142714</v>
      </c>
      <c r="C9" s="14">
        <f>C6/C7</f>
        <v>0.99101915086736392</v>
      </c>
      <c r="D9" s="14">
        <f>D6/D7</f>
        <v>0.99613217557931388</v>
      </c>
    </row>
    <row r="10" spans="1:4" ht="22.5" customHeight="1">
      <c r="A10" s="5" t="s">
        <v>132</v>
      </c>
      <c r="B10" s="8">
        <f>'Sales Log'!$O$213</f>
        <v>72.501000000000005</v>
      </c>
      <c r="C10" s="8">
        <f>AVERAGEIF('Sales Log'!$I$14:$I$212,C2,'Sales Log'!$O$14:$O$212)</f>
        <v>33.70967741935484</v>
      </c>
      <c r="D10" s="8">
        <f>AVERAGEIF('Sales Log'!$I$14:$I$212,D2,'Sales Log'!$O$14:$O$212)</f>
        <v>92.009370078740162</v>
      </c>
    </row>
    <row r="11" spans="1:4" ht="22.5" customHeight="1">
      <c r="A11" s="5" t="s">
        <v>133</v>
      </c>
      <c r="B11" s="8">
        <f>'Sales Log'!$P$213</f>
        <v>3386.0526842105269</v>
      </c>
      <c r="C11" s="8">
        <f>AVERAGEIF('Sales Log'!$I$14:$I$212,C2,'Sales Log'!$P$14:$P$212)</f>
        <v>3031.3495161290325</v>
      </c>
      <c r="D11" s="8">
        <f>AVERAGEIF('Sales Log'!$I$14:$I$212,D2,'Sales Log'!$P$14:$P$212)</f>
        <v>3552.3403149606293</v>
      </c>
    </row>
    <row r="12" spans="1:4" ht="22.5" customHeight="1">
      <c r="A12" s="5" t="s">
        <v>134</v>
      </c>
      <c r="B12" s="8">
        <f>'Sales Log'!$Q$213</f>
        <v>2496.6004574468079</v>
      </c>
      <c r="C12" s="8">
        <f>AVERAGEIF('Sales Log'!$I$14:$I$212,C2,'Sales Log'!$Q$14:$Q$212)</f>
        <v>2189.9359032258067</v>
      </c>
      <c r="D12" s="8">
        <f>AVERAGEIF('Sales Log'!$I$14:$I$212,D2,'Sales Log'!$Q$14:$Q$212)</f>
        <v>2635.6830399999994</v>
      </c>
    </row>
    <row r="13" spans="1:4" ht="22.5" customHeight="1">
      <c r="A13" s="5" t="s">
        <v>135</v>
      </c>
      <c r="B13" s="8">
        <f>'Sales Log'!$R$213</f>
        <v>5856.3731368421086</v>
      </c>
      <c r="C13" s="8">
        <f>AVERAGEIF('Sales Log'!$I$14:$I$212,C2,'Sales Log'!$R$14:$R$212)</f>
        <v>5221.2854193548383</v>
      </c>
      <c r="D13" s="8">
        <f>AVERAGEIF('Sales Log'!$I$14:$I$212,D2,'Sales Log'!$R$14:$R$212)</f>
        <v>6146.516535433072</v>
      </c>
    </row>
    <row r="14" spans="1:4" ht="22.5" customHeight="1">
      <c r="A14" s="5" t="s">
        <v>136</v>
      </c>
      <c r="B14" s="10">
        <f>B13*B3</f>
        <v>1112710.8960000006</v>
      </c>
      <c r="C14" s="10">
        <f>C13*C3</f>
        <v>323719.696</v>
      </c>
      <c r="D14" s="10">
        <f t="shared" ref="D14" si="0">D13*D3</f>
        <v>780607.60000000009</v>
      </c>
    </row>
    <row r="15" spans="1:4" ht="22.5" customHeight="1">
      <c r="A15" s="5" t="s">
        <v>90</v>
      </c>
      <c r="B15" s="9">
        <f>(B13/(B6)*(360/B4))</f>
        <v>2.8330995905627123</v>
      </c>
      <c r="C15" s="9">
        <f t="shared" ref="C15:D15" ca="1" si="1">(C13/(C6)*(360/C4))</f>
        <v>2.1560376290644587</v>
      </c>
      <c r="D15" s="9">
        <f t="shared" ca="1" si="1"/>
        <v>3.203056790774236</v>
      </c>
    </row>
    <row r="16" spans="1:4" ht="22.5" customHeight="1">
      <c r="A16" s="5" t="s">
        <v>137</v>
      </c>
      <c r="B16" s="9">
        <f>'Sales Log'!AA213/'Scoreboard Total'!B3</f>
        <v>0.58421052631578951</v>
      </c>
      <c r="C16" s="9">
        <f>COUNTIFS('Sales Log'!$I$14:$I$212,C2,'Sales Log'!$AA$14:$AA$212,"Yes")/C$3</f>
        <v>0.5161290322580645</v>
      </c>
      <c r="D16" s="9">
        <f>COUNTIFS('Sales Log'!$I$14:$I$212,D2,'Sales Log'!$AA$14:$AA$212,"Yes")/D$3</f>
        <v>0.62204724409448819</v>
      </c>
    </row>
    <row r="17" spans="1:4" ht="22.5" customHeight="1">
      <c r="A17" s="5" t="s">
        <v>138</v>
      </c>
      <c r="B17" s="114">
        <f>'Sales Log'!$AB$213</f>
        <v>675.559732142857</v>
      </c>
      <c r="C17" s="114">
        <f>AVERAGEIF('Sales Log'!$I$14:$I$212,C2,'Sales Log'!$AB$14:$AB$212)</f>
        <v>810.61941176470589</v>
      </c>
      <c r="D17" s="114">
        <f>AVERAGEIF('Sales Log'!$I$14:$I$212,D2,'Sales Log'!$AB$14:$AB$212)</f>
        <v>616.68756410256412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K11" sqref="K11"/>
    </sheetView>
  </sheetViews>
  <sheetFormatPr defaultRowHeight="15"/>
  <cols>
    <col min="1" max="1" width="31.28515625" bestFit="1" customWidth="1"/>
    <col min="2" max="2" width="10.7109375" customWidth="1"/>
    <col min="3" max="9" width="20.7109375" customWidth="1"/>
    <col min="10" max="10" width="28.5703125" bestFit="1" customWidth="1"/>
    <col min="11" max="11" width="20.7109375" customWidth="1"/>
  </cols>
  <sheetData>
    <row r="1" spans="1:11" ht="22.5" customHeight="1">
      <c r="A1" s="25" t="s">
        <v>139</v>
      </c>
      <c r="B1" s="21"/>
    </row>
    <row r="2" spans="1:11" ht="22.5" customHeight="1">
      <c r="A2" s="28" t="s">
        <v>144</v>
      </c>
      <c r="B2" s="22" t="s">
        <v>141</v>
      </c>
      <c r="C2" s="32" t="s">
        <v>103</v>
      </c>
      <c r="D2" s="32" t="s">
        <v>110</v>
      </c>
      <c r="E2" s="32" t="s">
        <v>145</v>
      </c>
      <c r="F2" s="32" t="s">
        <v>146</v>
      </c>
      <c r="G2" s="32" t="s">
        <v>115</v>
      </c>
      <c r="H2" s="32" t="s">
        <v>147</v>
      </c>
      <c r="I2" s="32" t="s">
        <v>148</v>
      </c>
      <c r="J2" s="32" t="s">
        <v>119</v>
      </c>
      <c r="K2" s="32" t="s">
        <v>120</v>
      </c>
    </row>
    <row r="3" spans="1:11" ht="22.5" customHeight="1">
      <c r="A3" s="5" t="s">
        <v>125</v>
      </c>
      <c r="B3" s="6">
        <f>'Scoreboard Total'!B3</f>
        <v>190</v>
      </c>
      <c r="C3" s="6">
        <f>COUNTIF('Sales Log'!$G$14:$G$212,'Scoreboard by Source'!C2)</f>
        <v>27</v>
      </c>
      <c r="D3" s="6">
        <f>COUNTIF('Sales Log'!$G$14:$G$212,'Scoreboard by Source'!D2)</f>
        <v>65</v>
      </c>
      <c r="E3" s="6">
        <f>COUNTIF('Sales Log'!$G$14:$G$212,'Scoreboard by Source'!E2)</f>
        <v>21</v>
      </c>
      <c r="F3" s="6">
        <f>COUNTIF('Sales Log'!$G$14:$G$212,'Scoreboard by Source'!F2)</f>
        <v>29</v>
      </c>
      <c r="G3" s="6">
        <f>COUNTIF('Sales Log'!$G$14:$G$212,'Scoreboard by Source'!G2)</f>
        <v>0</v>
      </c>
      <c r="H3" s="6">
        <f>COUNTIF('Sales Log'!$G$14:$G$212,'Scoreboard by Source'!H2)</f>
        <v>0</v>
      </c>
      <c r="I3" s="6">
        <f>COUNTIF('Sales Log'!$G$14:$G$212,'Scoreboard by Source'!I2)</f>
        <v>0</v>
      </c>
      <c r="J3" s="6">
        <f>COUNTIF('Sales Log'!$G$14:$G$212,'Scoreboard by Source'!J2)</f>
        <v>0</v>
      </c>
      <c r="K3" s="6">
        <f>COUNTIF('Sales Log'!$G$14:$G$212,'Scoreboard by Source'!K2)</f>
        <v>48</v>
      </c>
    </row>
    <row r="4" spans="1:11" ht="22.5" customHeight="1">
      <c r="A4" s="5" t="s">
        <v>149</v>
      </c>
      <c r="B4" s="9">
        <f>B3/'Sales Log'!$D$213</f>
        <v>1</v>
      </c>
      <c r="C4" s="9">
        <f>C3/'Sales Log'!$D$213</f>
        <v>0.14210526315789473</v>
      </c>
      <c r="D4" s="9">
        <f>D3/'Sales Log'!$D$213</f>
        <v>0.34210526315789475</v>
      </c>
      <c r="E4" s="9">
        <f>E3/'Sales Log'!$D$213</f>
        <v>0.11052631578947368</v>
      </c>
      <c r="F4" s="9">
        <f>F3/'Sales Log'!$D$213</f>
        <v>0.15263157894736842</v>
      </c>
      <c r="G4" s="9">
        <f>G3/'Sales Log'!$D$213</f>
        <v>0</v>
      </c>
      <c r="H4" s="9">
        <f>H3/'Sales Log'!$D$213</f>
        <v>0</v>
      </c>
      <c r="I4" s="9">
        <f>I3/'Sales Log'!$D$213</f>
        <v>0</v>
      </c>
      <c r="J4" s="9">
        <f>J3/'Sales Log'!$D$213</f>
        <v>0</v>
      </c>
      <c r="K4" s="9">
        <f>K3/'Sales Log'!$D$213</f>
        <v>0.25263157894736843</v>
      </c>
    </row>
    <row r="5" spans="1:11" ht="22.5" customHeight="1">
      <c r="A5" s="5" t="s">
        <v>142</v>
      </c>
      <c r="B5" s="14">
        <f>COUNTIFS('Sales Log'!$I$14:$I$212,"No")/B3</f>
        <v>0.66842105263157892</v>
      </c>
      <c r="C5" s="14">
        <f>COUNTIFS('Sales Log'!$I$14:$I$212,"No",'Sales Log'!$G$14:$G$212,'Scoreboard by Source'!C2)/C3</f>
        <v>0.51851851851851849</v>
      </c>
      <c r="D5" s="14">
        <f>COUNTIFS('Sales Log'!$I$14:$I$212,"No",'Sales Log'!$G$14:$G$212,'Scoreboard by Source'!D2)/D3</f>
        <v>0.61538461538461542</v>
      </c>
      <c r="E5" s="14">
        <f>COUNTIFS('Sales Log'!$I$14:$I$212,"No",'Sales Log'!$G$14:$G$212,'Scoreboard by Source'!E2)/E3</f>
        <v>0.80952380952380953</v>
      </c>
      <c r="F5" s="14">
        <f>COUNTIFS('Sales Log'!$I$14:$I$212,"No",'Sales Log'!$G$14:$G$212,'Scoreboard by Source'!F2)/F3</f>
        <v>0.55172413793103448</v>
      </c>
      <c r="G5" s="14" t="e">
        <f>COUNTIFS('Sales Log'!$I$14:$I$212,"No",'Sales Log'!$G$14:$G$212,'Scoreboard by Source'!G2)/G3</f>
        <v>#DIV/0!</v>
      </c>
      <c r="H5" s="14" t="e">
        <f>COUNTIFS('Sales Log'!$I$14:$I$212,"No",'Sales Log'!$G$14:$G$212,'Scoreboard by Source'!H2)/H3</f>
        <v>#DIV/0!</v>
      </c>
      <c r="I5" s="14" t="e">
        <f>COUNTIFS('Sales Log'!$I$14:$I$212,"No",'Sales Log'!$G$14:$G$212,'Scoreboard by Source'!I2)/I3</f>
        <v>#DIV/0!</v>
      </c>
      <c r="J5" s="14" t="e">
        <f>COUNTIFS('Sales Log'!$I$14:$I$212,"No",'Sales Log'!$G$14:$G$212,'Scoreboard by Source'!J2)/J3</f>
        <v>#DIV/0!</v>
      </c>
      <c r="K5" s="14">
        <f>COUNTIFS('Sales Log'!$I$14:$I$212,"No",'Sales Log'!$G$14:$G$212,'Scoreboard by Source'!K2)/K3</f>
        <v>0.83333333333333337</v>
      </c>
    </row>
    <row r="6" spans="1:11" s="4" customFormat="1" ht="21.75" customHeight="1">
      <c r="A6" s="11" t="s">
        <v>126</v>
      </c>
      <c r="B6" s="7">
        <f>'Sales Log'!$F$213</f>
        <v>26.7</v>
      </c>
      <c r="C6" s="24">
        <f ca="1">AVERAGEIF('Sales Log'!$G$14:$G$212,C2,'Sales Log'!$F$14:$F$208)</f>
        <v>28.074074074074073</v>
      </c>
      <c r="D6" s="24">
        <f ca="1">AVERAGEIF('Sales Log'!$G$14:$G$212,D2,'Sales Log'!$F$14:$F$208)</f>
        <v>24.261538461538461</v>
      </c>
      <c r="E6" s="24">
        <f ca="1">AVERAGEIF('Sales Log'!$G$14:$G$212,E2,'Sales Log'!$F$14:$F$208)</f>
        <v>19.095238095238095</v>
      </c>
      <c r="F6" s="24">
        <f ca="1">AVERAGEIF('Sales Log'!$G$14:$G$212,F2,'Sales Log'!$F$14:$F$208)</f>
        <v>32.689655172413794</v>
      </c>
      <c r="G6" s="24" t="e">
        <f ca="1">AVERAGEIF('Sales Log'!$G$14:$G$212,G2,'Sales Log'!$F$14:$F$208)</f>
        <v>#DIV/0!</v>
      </c>
      <c r="H6" s="24" t="e">
        <f ca="1">AVERAGEIF('Sales Log'!$G$14:$G$212,H2,'Sales Log'!$F$14:$F$208)</f>
        <v>#DIV/0!</v>
      </c>
      <c r="I6" s="24" t="e">
        <f ca="1">AVERAGEIF('Sales Log'!$G$14:$G$212,I2,'Sales Log'!$F$14:$F$208)</f>
        <v>#DIV/0!</v>
      </c>
      <c r="J6" s="24" t="e">
        <f ca="1">AVERAGEIF('Sales Log'!$G$14:$G$212,J2,'Sales Log'!$F$14:$F$208)</f>
        <v>#DIV/0!</v>
      </c>
      <c r="K6" s="24">
        <f ca="1">AVERAGEIF('Sales Log'!$G$14:$G$212,K2,'Sales Log'!$F$14:$F$208)</f>
        <v>28.9375</v>
      </c>
    </row>
    <row r="7" spans="1:11" ht="22.5" customHeight="1">
      <c r="A7" s="5" t="s">
        <v>128</v>
      </c>
      <c r="B7" s="8">
        <f>'Sales Log'!$K$213</f>
        <v>27871.358526315784</v>
      </c>
      <c r="C7" s="8">
        <f>AVERAGEIF('Sales Log'!$G$14:$G$212,C2,'Sales Log'!$K$14:$K$212)</f>
        <v>28198.081481481484</v>
      </c>
      <c r="D7" s="8">
        <f>AVERAGEIF('Sales Log'!$G$14:$G$212,D2,'Sales Log'!$K$14:$K$212)</f>
        <v>23503.940923076923</v>
      </c>
      <c r="E7" s="8">
        <f>AVERAGEIF('Sales Log'!$G$14:$G$212,E2,'Sales Log'!$K$14:$K$212)</f>
        <v>34358.673809523811</v>
      </c>
      <c r="F7" s="8">
        <f>AVERAGEIF('Sales Log'!$G$14:$G$212,F2,'Sales Log'!$K$14:$K$212)</f>
        <v>33752.006896551728</v>
      </c>
      <c r="G7" s="8" t="e">
        <f>AVERAGEIF('Sales Log'!$G$14:$G$212,G2,'Sales Log'!$K$14:$K$212)</f>
        <v>#DIV/0!</v>
      </c>
      <c r="H7" s="8" t="e">
        <f>AVERAGEIF('Sales Log'!$G$14:$G$212,H2,'Sales Log'!$K$14:$K$212)</f>
        <v>#DIV/0!</v>
      </c>
      <c r="I7" s="8" t="e">
        <f>AVERAGEIF('Sales Log'!$G$14:$G$212,I2,'Sales Log'!$K$14:$K$212)</f>
        <v>#DIV/0!</v>
      </c>
      <c r="J7" s="8" t="e">
        <f>AVERAGEIF('Sales Log'!$G$14:$G$212,J2,'Sales Log'!$K$14:$K$212)</f>
        <v>#DIV/0!</v>
      </c>
      <c r="K7" s="8">
        <f>AVERAGEIF('Sales Log'!$G$14:$G$212,K2,'Sales Log'!$K$14:$K$212)</f>
        <v>27210.69604166667</v>
      </c>
    </row>
    <row r="8" spans="1:11" ht="22.5" customHeight="1">
      <c r="A8" s="5" t="s">
        <v>150</v>
      </c>
      <c r="B8" s="9">
        <f>'Sales Log'!$N$213</f>
        <v>0.99640807103142714</v>
      </c>
      <c r="C8" s="14">
        <f>AVERAGEIF('Sales Log'!$G$14:$G$212,C2,'Sales Log'!$N14:$N$212)</f>
        <v>0.99198459344392809</v>
      </c>
      <c r="D8" s="14">
        <f>AVERAGEIF('Sales Log'!$G$14:$G$212,D2,'Sales Log'!$N14:$N$212)</f>
        <v>0.99698468235505733</v>
      </c>
      <c r="E8" s="14">
        <f>AVERAGEIF('Sales Log'!$G$14:$G$212,E2,'Sales Log'!$N14:$N$212)</f>
        <v>0.99819636963197333</v>
      </c>
      <c r="F8" s="14">
        <f>AVERAGEIF('Sales Log'!$G$14:$G$212,F2,'Sales Log'!$N14:$N$212)</f>
        <v>0.99772568945327467</v>
      </c>
      <c r="G8" s="14" t="e">
        <f>AVERAGEIF('Sales Log'!$G$14:$G$212,G2,'Sales Log'!$N14:$N$212)</f>
        <v>#DIV/0!</v>
      </c>
      <c r="H8" s="14" t="e">
        <f>AVERAGEIF('Sales Log'!$G$14:$G$212,H2,'Sales Log'!$N14:$N$212)</f>
        <v>#DIV/0!</v>
      </c>
      <c r="I8" s="14" t="e">
        <f>AVERAGEIF('Sales Log'!$G$14:$G$212,I2,'Sales Log'!$N14:$N$212)</f>
        <v>#DIV/0!</v>
      </c>
      <c r="J8" s="14" t="e">
        <f>AVERAGEIF('Sales Log'!$G$14:$G$212,J2,'Sales Log'!$N14:$N$212)</f>
        <v>#DIV/0!</v>
      </c>
      <c r="K8" s="14">
        <f>AVERAGEIF('Sales Log'!$G$14:$G$212,K2,'Sales Log'!$N14:$N$212)</f>
        <v>0.9952223220614419</v>
      </c>
    </row>
    <row r="9" spans="1:11" ht="22.5" customHeight="1">
      <c r="A9" s="5" t="s">
        <v>132</v>
      </c>
      <c r="B9" s="8">
        <f>'Sales Log'!$O$213</f>
        <v>72.501000000000005</v>
      </c>
      <c r="C9" s="8">
        <f>AVERAGEIF('Sales Log'!$G$14:$G$212,C2,'Sales Log'!$O$14:$O$212)</f>
        <v>-18.518518518518519</v>
      </c>
      <c r="D9" s="8">
        <f>AVERAGEIF('Sales Log'!$G$14:$G$212,D2,'Sales Log'!$O$14:$O$212)</f>
        <v>79.503076923076961</v>
      </c>
      <c r="E9" s="8">
        <f>AVERAGEIF('Sales Log'!$G$14:$G$212,E2,'Sales Log'!$O$14:$O$212)</f>
        <v>51.775238095238038</v>
      </c>
      <c r="F9" s="8">
        <f>AVERAGEIF('Sales Log'!$G$14:$G$212,F2,'Sales Log'!$O$14:$O$212)</f>
        <v>111.68965517241379</v>
      </c>
      <c r="G9" s="8" t="e">
        <f>AVERAGEIF('Sales Log'!$G$14:$G$212,G2,'Sales Log'!$O$14:$O$212)</f>
        <v>#DIV/0!</v>
      </c>
      <c r="H9" s="8" t="e">
        <f>AVERAGEIF('Sales Log'!$G$14:$G$212,H2,'Sales Log'!$O$14:$O$212)</f>
        <v>#DIV/0!</v>
      </c>
      <c r="I9" s="8" t="e">
        <f>AVERAGEIF('Sales Log'!$G$14:$G$212,I2,'Sales Log'!$O$14:$O$212)</f>
        <v>#DIV/0!</v>
      </c>
      <c r="J9" s="8" t="e">
        <f>AVERAGEIF('Sales Log'!$G$14:$G$212,J2,'Sales Log'!$O$14:$O$212)</f>
        <v>#DIV/0!</v>
      </c>
      <c r="K9" s="8">
        <f>AVERAGEIF('Sales Log'!$G$14:$G$212,K2,'Sales Log'!$O$14:$O$212)</f>
        <v>99.608541666666653</v>
      </c>
    </row>
    <row r="10" spans="1:11" ht="22.5" customHeight="1">
      <c r="A10" s="5" t="s">
        <v>151</v>
      </c>
      <c r="B10" s="8">
        <f>'Sales Log'!$P$213</f>
        <v>3386.0526842105269</v>
      </c>
      <c r="C10" s="8">
        <f>AVERAGEIF('Sales Log'!$G$14:$G$212,C2,'Sales Log'!$P$14:$P$212)</f>
        <v>3603.6633333333334</v>
      </c>
      <c r="D10" s="8">
        <f>AVERAGEIF('Sales Log'!$G$14:$G$212,D2,'Sales Log'!$P$14:$P$212)</f>
        <v>2974.2100000000019</v>
      </c>
      <c r="E10" s="8">
        <f>AVERAGEIF('Sales Log'!$G$14:$G$212,E2,'Sales Log'!$P$14:$P$212)</f>
        <v>5195.0180952380952</v>
      </c>
      <c r="F10" s="8">
        <f>AVERAGEIF('Sales Log'!$G$14:$G$212,F2,'Sales Log'!$P$14:$P$212)</f>
        <v>2449.792068965518</v>
      </c>
      <c r="G10" s="8" t="e">
        <f>AVERAGEIF('Sales Log'!$G$14:$G$212,G2,'Sales Log'!$P$14:$P$212)</f>
        <v>#DIV/0!</v>
      </c>
      <c r="H10" s="8" t="e">
        <f>AVERAGEIF('Sales Log'!$G$14:$G$212,H2,'Sales Log'!$P$14:$P$212)</f>
        <v>#DIV/0!</v>
      </c>
      <c r="I10" s="8" t="e">
        <f>AVERAGEIF('Sales Log'!$G$14:$G$212,I2,'Sales Log'!$P$14:$P$212)</f>
        <v>#DIV/0!</v>
      </c>
      <c r="J10" s="8" t="e">
        <f>AVERAGEIF('Sales Log'!$G$14:$G$212,J2,'Sales Log'!$P$14:$P$212)</f>
        <v>#DIV/0!</v>
      </c>
      <c r="K10" s="8">
        <f>AVERAGEIF('Sales Log'!$G$14:$G$212,K2,'Sales Log'!$P$14:$P$212)</f>
        <v>3595.5854166666668</v>
      </c>
    </row>
    <row r="11" spans="1:11" ht="22.5" customHeight="1">
      <c r="A11" s="5" t="s">
        <v>134</v>
      </c>
      <c r="B11" s="8">
        <f>'Sales Log'!$Q$213</f>
        <v>2496.6004574468079</v>
      </c>
      <c r="C11" s="8">
        <f>AVERAGEIF('Sales Log'!$G$14:$G$212,C2,'Sales Log'!$Q$14:$Q$212)</f>
        <v>2483.0788888888887</v>
      </c>
      <c r="D11" s="8">
        <f>AVERAGEIF('Sales Log'!$G$14:$G$212,D2,'Sales Log'!$Q$14:$Q$212)</f>
        <v>2302.2515625000001</v>
      </c>
      <c r="E11" s="8">
        <f>AVERAGEIF('Sales Log'!$G$14:$G$212,E2,'Sales Log'!$Q$14:$Q$212)</f>
        <v>2484.5945000000002</v>
      </c>
      <c r="F11" s="8">
        <f>AVERAGEIF('Sales Log'!$G$14:$G$212,F2,'Sales Log'!$Q$14:$Q$212)</f>
        <v>2625.6471034482761</v>
      </c>
      <c r="G11" s="8" t="e">
        <f>AVERAGEIF('Sales Log'!$G$14:$G$212,G2,'Sales Log'!$Q$14:$Q$212)</f>
        <v>#DIV/0!</v>
      </c>
      <c r="H11" s="8" t="e">
        <f>AVERAGEIF('Sales Log'!$G$14:$G$212,H2,'Sales Log'!$Q$14:$Q$212)</f>
        <v>#DIV/0!</v>
      </c>
      <c r="I11" s="8" t="e">
        <f>AVERAGEIF('Sales Log'!$G$14:$G$212,I2,'Sales Log'!$Q$14:$Q$212)</f>
        <v>#DIV/0!</v>
      </c>
      <c r="J11" s="8" t="e">
        <f>AVERAGEIF('Sales Log'!$G$14:$G$212,J2,'Sales Log'!$Q$14:$Q$212)</f>
        <v>#DIV/0!</v>
      </c>
      <c r="K11" s="8">
        <f>AVERAGEIF('Sales Log'!$G$14:$G$212,K2,'Sales Log'!$Q$14:$Q$212)</f>
        <v>2690.3749999999995</v>
      </c>
    </row>
    <row r="12" spans="1:11" ht="22.5" customHeight="1">
      <c r="A12" s="5" t="s">
        <v>135</v>
      </c>
      <c r="B12" s="8">
        <f>'Sales Log'!$R$213</f>
        <v>5856.3731368421086</v>
      </c>
      <c r="C12" s="8">
        <f>AVERAGEIF('Sales Log'!$G$14:$G$212,C2,'Sales Log'!$R$14:$R$212)</f>
        <v>6086.7422222222212</v>
      </c>
      <c r="D12" s="8">
        <f>AVERAGEIF('Sales Log'!$G$14:$G$212,D2,'Sales Log'!$R$14:$R$212)</f>
        <v>5241.042307692308</v>
      </c>
      <c r="E12" s="8">
        <f>AVERAGEIF('Sales Log'!$G$14:$G$212,E2,'Sales Log'!$R$14:$R$212)</f>
        <v>7561.2985714285705</v>
      </c>
      <c r="F12" s="8">
        <f>AVERAGEIF('Sales Log'!$G$14:$G$212,F2,'Sales Log'!$R$14:$R$212)</f>
        <v>5075.4391724137931</v>
      </c>
      <c r="G12" s="8" t="e">
        <f>AVERAGEIF('Sales Log'!$G$14:$G$212,G2,'Sales Log'!$R$14:$R$212)</f>
        <v>#DIV/0!</v>
      </c>
      <c r="H12" s="8" t="e">
        <f>AVERAGEIF('Sales Log'!$G$14:$G$212,H2,'Sales Log'!$R$14:$R$212)</f>
        <v>#DIV/0!</v>
      </c>
      <c r="I12" s="8" t="e">
        <f>AVERAGEIF('Sales Log'!$G$14:$G$212,I2,'Sales Log'!$R$14:$R$212)</f>
        <v>#DIV/0!</v>
      </c>
      <c r="J12" s="8" t="e">
        <f>AVERAGEIF('Sales Log'!$G$14:$G$212,J2,'Sales Log'!$R$14:$R$212)</f>
        <v>#DIV/0!</v>
      </c>
      <c r="K12" s="8">
        <f>AVERAGEIF('Sales Log'!$G$14:$G$212,K2,'Sales Log'!$R$14:$R$212)</f>
        <v>6285.9604166666659</v>
      </c>
    </row>
    <row r="13" spans="1:11" ht="21.75" customHeight="1">
      <c r="A13" s="5" t="s">
        <v>136</v>
      </c>
      <c r="B13" s="10">
        <f>B12*B3</f>
        <v>1112710.8960000006</v>
      </c>
      <c r="C13" s="10">
        <f>C12*C3</f>
        <v>164342.03999999998</v>
      </c>
      <c r="D13" s="10">
        <f t="shared" ref="D13:K13" si="0">D12*D3</f>
        <v>340667.75</v>
      </c>
      <c r="E13" s="10">
        <f t="shared" si="0"/>
        <v>158787.26999999999</v>
      </c>
      <c r="F13" s="10">
        <f t="shared" si="0"/>
        <v>147187.736</v>
      </c>
      <c r="G13" s="10" t="e">
        <f t="shared" si="0"/>
        <v>#DIV/0!</v>
      </c>
      <c r="H13" s="10" t="e">
        <f t="shared" si="0"/>
        <v>#DIV/0!</v>
      </c>
      <c r="I13" s="10" t="e">
        <f t="shared" si="0"/>
        <v>#DIV/0!</v>
      </c>
      <c r="J13" s="10" t="e">
        <f t="shared" ref="J13" si="1">J12*J3</f>
        <v>#DIV/0!</v>
      </c>
      <c r="K13" s="10">
        <f t="shared" si="0"/>
        <v>301726.09999999998</v>
      </c>
    </row>
    <row r="14" spans="1:11" ht="21.75" customHeight="1">
      <c r="A14" s="5" t="s">
        <v>90</v>
      </c>
      <c r="B14" s="9">
        <f>(B12/(B7)*(360/B6))</f>
        <v>2.8330995905627123</v>
      </c>
      <c r="C14" s="9">
        <f ca="1">(C12/(C7)*(360/C6))</f>
        <v>2.7679765571037529</v>
      </c>
      <c r="D14" s="9">
        <f t="shared" ref="D14:K14" ca="1" si="2">(D12/(D7)*(360/D6))</f>
        <v>3.3087285795957144</v>
      </c>
      <c r="E14" s="9">
        <f t="shared" ca="1" si="2"/>
        <v>4.1489425169257386</v>
      </c>
      <c r="F14" s="9">
        <f t="shared" ca="1" si="2"/>
        <v>1.6560223258231122</v>
      </c>
      <c r="G14" s="9" t="e">
        <f t="shared" ca="1" si="2"/>
        <v>#DIV/0!</v>
      </c>
      <c r="H14" s="9" t="e">
        <f t="shared" ca="1" si="2"/>
        <v>#DIV/0!</v>
      </c>
      <c r="I14" s="9" t="e">
        <f t="shared" ca="1" si="2"/>
        <v>#DIV/0!</v>
      </c>
      <c r="J14" s="9" t="e">
        <f t="shared" ref="J14" ca="1" si="3">(J12/(J7)*(360/J6))</f>
        <v>#DIV/0!</v>
      </c>
      <c r="K14" s="9">
        <f t="shared" ca="1" si="2"/>
        <v>2.8739121156008434</v>
      </c>
    </row>
    <row r="15" spans="1:11" ht="21.75" customHeight="1">
      <c r="A15" s="5" t="s">
        <v>137</v>
      </c>
      <c r="B15" s="9">
        <f>'Sales Log'!AA213/'Scoreboard Total'!B3</f>
        <v>0.58421052631578951</v>
      </c>
      <c r="C15" s="9">
        <f>COUNTIFS('Sales Log'!$G$14:$G$212,C2,'Sales Log'!$AA$14:$AA$212,"Yes")/C$3</f>
        <v>0.48148148148148145</v>
      </c>
      <c r="D15" s="9">
        <f>COUNTIFS('Sales Log'!$G$14:$G$212,D2,'Sales Log'!$AA$14:$AA$212,"Yes")/D$3</f>
        <v>0.43076923076923079</v>
      </c>
      <c r="E15" s="9">
        <f>COUNTIFS('Sales Log'!$G$14:$G$212,E2,'Sales Log'!$AA$14:$AA$212,"Yes")/E$3</f>
        <v>0.7142857142857143</v>
      </c>
      <c r="F15" s="9">
        <f>COUNTIFS('Sales Log'!$G$14:$G$212,F2,'Sales Log'!$AA$14:$AA$212,"Yes")/F$3</f>
        <v>0.62068965517241381</v>
      </c>
      <c r="G15" s="9" t="e">
        <f>COUNTIFS('Sales Log'!$G$14:$G$212,G2,'Sales Log'!$AA$14:$AA$212,"Yes")/G$3</f>
        <v>#DIV/0!</v>
      </c>
      <c r="H15" s="9" t="e">
        <f>COUNTIFS('Sales Log'!$G$14:$G$212,H2,'Sales Log'!$AA$14:$AA$212,"Yes")/H$3</f>
        <v>#DIV/0!</v>
      </c>
      <c r="I15" s="9" t="e">
        <f>COUNTIFS('Sales Log'!$G$14:$G$212,I2,'Sales Log'!$AA$14:$AA$212,"Yes")/I$3</f>
        <v>#DIV/0!</v>
      </c>
      <c r="J15" s="9" t="e">
        <f>COUNTIFS('Sales Log'!$G$14:$G$212,J2,'Sales Log'!$AA$14:$AA$212,"Yes")/J$3</f>
        <v>#DIV/0!</v>
      </c>
      <c r="K15" s="9">
        <f>COUNTIFS('Sales Log'!$G$14:$G$212,K2,'Sales Log'!$AA$14:$AA$212,"Yes")/K$3</f>
        <v>0.77083333333333337</v>
      </c>
    </row>
    <row r="16" spans="1:11" ht="21.75" customHeight="1">
      <c r="A16" s="5" t="s">
        <v>138</v>
      </c>
      <c r="B16" s="114">
        <f>'Sales Log'!$AB$213</f>
        <v>675.559732142857</v>
      </c>
      <c r="C16" s="114">
        <f>AVERAGEIF('Sales Log'!$G$14:$G$212,C2,'Sales Log'!$AB$14:$AB$212)</f>
        <v>348.49466666666666</v>
      </c>
      <c r="D16" s="114">
        <f>AVERAGEIF('Sales Log'!$G$14:$G$212,D2,'Sales Log'!$AB$14:$AB$212)</f>
        <v>459.5</v>
      </c>
      <c r="E16" s="114">
        <f>AVERAGEIF('Sales Log'!$G$14:$G$212,E2,'Sales Log'!$AB$14:$AB$212)</f>
        <v>1413.4285714285713</v>
      </c>
      <c r="F16" s="114">
        <f>AVERAGEIF('Sales Log'!$G$14:$G$212,F2,'Sales Log'!$AB$14:$AB$212)</f>
        <v>750.31</v>
      </c>
      <c r="G16" s="114" t="e">
        <f>AVERAGEIF('Sales Log'!$G$14:$G$212,G2,'Sales Log'!$AB$14:$AB$212)</f>
        <v>#DIV/0!</v>
      </c>
      <c r="H16" s="114" t="e">
        <f>AVERAGEIF('Sales Log'!$G$14:$G$212,H2,'Sales Log'!$AB$14:$AB$212)</f>
        <v>#DIV/0!</v>
      </c>
      <c r="I16" s="114" t="e">
        <f>AVERAGEIF('Sales Log'!$G$14:$G$212,I2,'Sales Log'!$AB$14:$AB$212)</f>
        <v>#DIV/0!</v>
      </c>
      <c r="J16" s="114" t="e">
        <f>AVERAGEIF('Sales Log'!$G$14:$G$212,J2,'Sales Log'!$AB$14:$AB$212)</f>
        <v>#DIV/0!</v>
      </c>
      <c r="K16" s="114">
        <f>AVERAGEIF('Sales Log'!$G$14:$G$212,K2,'Sales Log'!$AB$14:$AB$212)</f>
        <v>659.0251428571429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Drew Shepherd</cp:lastModifiedBy>
  <cp:revision/>
  <dcterms:created xsi:type="dcterms:W3CDTF">2015-12-28T19:26:50Z</dcterms:created>
  <dcterms:modified xsi:type="dcterms:W3CDTF">2023-11-03T18:01:46Z</dcterms:modified>
  <cp:category/>
  <cp:contentStatus/>
</cp:coreProperties>
</file>