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ling\Documents\"/>
    </mc:Choice>
  </mc:AlternateContent>
  <xr:revisionPtr revIDLastSave="0" documentId="8_{A118A94A-4FE5-4E74-A31A-2F573BA99D66}" xr6:coauthVersionLast="47" xr6:coauthVersionMax="47" xr10:uidLastSave="{00000000-0000-0000-0000-000000000000}"/>
  <bookViews>
    <workbookView xWindow="-120" yWindow="-120" windowWidth="29040" windowHeight="15840" tabRatio="913" activeTab="1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heet2" sheetId="16" r:id="rId10"/>
    <sheet name="Scoreboard by Age" sheetId="14" r:id="rId11"/>
    <sheet name="Sheet1" sheetId="15" r:id="rId12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4" i="1" l="1"/>
  <c r="R89" i="1"/>
  <c r="S89" i="1" s="1"/>
  <c r="M89" i="1"/>
  <c r="N89" i="1" s="1"/>
  <c r="O89" i="1"/>
  <c r="W89" i="1"/>
  <c r="R88" i="1"/>
  <c r="S88" i="1" s="1"/>
  <c r="M88" i="1"/>
  <c r="N88" i="1" s="1"/>
  <c r="O88" i="1"/>
  <c r="W88" i="1"/>
  <c r="R87" i="1"/>
  <c r="S87" i="1" s="1"/>
  <c r="M87" i="1"/>
  <c r="N87" i="1" s="1"/>
  <c r="O87" i="1"/>
  <c r="W87" i="1"/>
  <c r="R86" i="1"/>
  <c r="S86" i="1" s="1"/>
  <c r="M86" i="1"/>
  <c r="N86" i="1" s="1"/>
  <c r="O86" i="1"/>
  <c r="W86" i="1"/>
  <c r="J3" i="13" l="1"/>
  <c r="J6" i="13"/>
  <c r="J7" i="13"/>
  <c r="J8" i="13"/>
  <c r="J9" i="13"/>
  <c r="J10" i="13"/>
  <c r="J11" i="13"/>
  <c r="J12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3" i="13" l="1"/>
  <c r="J15" i="13"/>
  <c r="J14" i="13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M40" i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M84" i="1"/>
  <c r="N84" i="1" s="1"/>
  <c r="M85" i="1"/>
  <c r="N85" i="1" s="1"/>
  <c r="M90" i="1"/>
  <c r="N90" i="1" s="1"/>
  <c r="M91" i="1"/>
  <c r="N91" i="1" s="1"/>
  <c r="M92" i="1"/>
  <c r="N92" i="1" s="1"/>
  <c r="M93" i="1"/>
  <c r="N93" i="1" s="1"/>
  <c r="N94" i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M141" i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M210" i="1"/>
  <c r="N210" i="1" s="1"/>
  <c r="M211" i="1"/>
  <c r="N211" i="1" s="1"/>
  <c r="M212" i="1"/>
  <c r="N212" i="1" s="1"/>
  <c r="M213" i="1"/>
  <c r="N213" i="1" s="1"/>
  <c r="N17" i="1"/>
  <c r="N39" i="1"/>
  <c r="N40" i="1"/>
  <c r="N65" i="1"/>
  <c r="N83" i="1"/>
  <c r="N129" i="1"/>
  <c r="N140" i="1"/>
  <c r="N141" i="1"/>
  <c r="N160" i="1"/>
  <c r="N168" i="1"/>
  <c r="N177" i="1"/>
  <c r="N193" i="1"/>
  <c r="N209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D8" i="13" l="1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B3" i="5" l="1"/>
  <c r="B16" i="5" s="1"/>
  <c r="J4" i="13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K13" i="13"/>
  <c r="F13" i="13"/>
  <c r="E4" i="13"/>
  <c r="H4" i="13"/>
  <c r="G14" i="13"/>
  <c r="D14" i="13"/>
  <c r="D4" i="13"/>
  <c r="G4" i="13"/>
  <c r="K4" i="13"/>
  <c r="C14" i="13"/>
  <c r="B4" i="10" l="1"/>
  <c r="B4" i="9"/>
  <c r="B3" i="14"/>
  <c r="B5" i="14" s="1"/>
  <c r="B17" i="6"/>
  <c r="B16" i="12"/>
  <c r="B17" i="10"/>
  <c r="B15" i="14"/>
  <c r="B16" i="11"/>
  <c r="B17" i="9"/>
  <c r="B15" i="13"/>
  <c r="L214" i="1"/>
  <c r="B8" i="11" s="1"/>
  <c r="M13" i="1"/>
  <c r="B4" i="14" l="1"/>
  <c r="B9" i="6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AQ10" i="9" l="1"/>
  <c r="B6" i="6"/>
  <c r="B5" i="12"/>
  <c r="B6" i="10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G13" i="14" l="1"/>
  <c r="E13" i="14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<sst xmlns="http://schemas.openxmlformats.org/spreadsheetml/2006/main" count="1301" uniqueCount="357">
  <si>
    <t>Desk Manager(s)</t>
  </si>
  <si>
    <t>Finance Manager(s)</t>
  </si>
  <si>
    <t>Sales Consultant(s)</t>
  </si>
  <si>
    <t>New Car Franchise(s)</t>
  </si>
  <si>
    <t>Control (brand)</t>
  </si>
  <si>
    <t>Mike Lucki</t>
  </si>
  <si>
    <t>Volkswagen</t>
  </si>
  <si>
    <t>Acura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</si>
  <si>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</si>
  <si>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</si>
  <si>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</si>
  <si>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</si>
  <si>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</si>
  <si>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</si>
  <si>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</si>
  <si>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</si>
  <si>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</si>
  <si>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</si>
  <si>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</si>
  <si>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</si>
  <si>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</si>
  <si>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</si>
  <si>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</si>
  <si>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</si>
  <si>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</si>
  <si>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</si>
  <si>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</si>
  <si>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</si>
  <si>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</si>
  <si>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</si>
  <si>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</si>
  <si>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</si>
  <si>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</si>
  <si>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</si>
  <si>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</si>
  <si>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</si>
  <si>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</si>
  <si>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</si>
  <si>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</si>
  <si>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</si>
  <si>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</si>
  <si>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</si>
  <si>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</si>
  <si>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</si>
  <si>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</si>
  <si>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</si>
  <si>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</si>
  <si>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</si>
  <si>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</si>
  <si>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</si>
  <si>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</si>
  <si>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</si>
  <si>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</si>
  <si>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</si>
  <si>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</si>
  <si>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</si>
  <si>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</si>
  <si>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</si>
  <si>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</si>
  <si>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</si>
  <si>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</si>
  <si>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</si>
  <si>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</si>
  <si>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</si>
  <si>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</si>
  <si>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</si>
  <si>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</si>
  <si>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</si>
  <si>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</si>
  <si>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</si>
  <si>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</si>
  <si>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</si>
  <si>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</si>
  <si>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</si>
  <si>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</si>
  <si>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</si>
  <si>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</si>
  <si>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</si>
  <si>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</si>
  <si>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</si>
  <si>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</si>
  <si>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</si>
  <si>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</si>
  <si>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</si>
  <si>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</si>
  <si>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</si>
  <si>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</si>
  <si>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</si>
  <si>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</si>
  <si>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</si>
  <si>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</si>
  <si>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</si>
  <si>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</si>
  <si>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</si>
  <si>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</si>
  <si>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</si>
  <si>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</si>
  <si>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</si>
  <si>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</si>
  <si>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</si>
  <si>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</si>
  <si>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</si>
  <si>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</si>
  <si>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</si>
  <si>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</si>
  <si>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</si>
  <si>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</si>
  <si>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</si>
  <si>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</si>
  <si>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</si>
  <si>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</si>
  <si>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</si>
  <si>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</si>
  <si>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</si>
  <si>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</si>
  <si>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</si>
  <si>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</si>
  <si>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</si>
  <si>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</si>
  <si>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</si>
  <si>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</si>
  <si>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</si>
  <si>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</si>
  <si>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</si>
  <si>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</si>
  <si>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</si>
  <si>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</si>
  <si>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</si>
  <si>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</si>
  <si>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</si>
  <si>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</si>
  <si>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</si>
  <si>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</si>
  <si>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</si>
  <si>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</si>
  <si>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</si>
  <si>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</si>
  <si>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</si>
  <si>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</si>
  <si>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</si>
  <si>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</si>
  <si>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</si>
  <si>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</si>
  <si>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</si>
  <si>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</si>
  <si>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</si>
  <si>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</si>
  <si>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</si>
  <si>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</si>
  <si>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</si>
  <si>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</si>
  <si>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</si>
  <si>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JOSE MOLINA</t>
  </si>
  <si>
    <t>BECKY PAULINI</t>
  </si>
  <si>
    <t>BUICK</t>
  </si>
  <si>
    <t>CADILLAC</t>
  </si>
  <si>
    <t>SUBARU</t>
  </si>
  <si>
    <t>ADAM DUNKER</t>
  </si>
  <si>
    <t>JASON TOAL</t>
  </si>
  <si>
    <t>JASON COSTINE</t>
  </si>
  <si>
    <t>BRYAN CAMPBELL</t>
  </si>
  <si>
    <t>CONNOR SCHICK</t>
  </si>
  <si>
    <t>GEE CAO</t>
  </si>
  <si>
    <t>JACOB OLLINGER</t>
  </si>
  <si>
    <t>JASON DOMINGUEZ</t>
  </si>
  <si>
    <t>JOSH RUDA</t>
  </si>
  <si>
    <t>MATT COX</t>
  </si>
  <si>
    <t>NICK STRUCELY</t>
  </si>
  <si>
    <t>SA04678</t>
  </si>
  <si>
    <t>FORD</t>
  </si>
  <si>
    <t>EXPEDITION</t>
  </si>
  <si>
    <t>S128035</t>
  </si>
  <si>
    <t>CT6</t>
  </si>
  <si>
    <t>JUAN ANGUIANO</t>
  </si>
  <si>
    <t>HOUSE</t>
  </si>
  <si>
    <t>S577301</t>
  </si>
  <si>
    <t>FORESTER</t>
  </si>
  <si>
    <t>S343028</t>
  </si>
  <si>
    <t>OUTBACK</t>
  </si>
  <si>
    <t>SY37273</t>
  </si>
  <si>
    <t>SP056048</t>
  </si>
  <si>
    <t>NISSAN</t>
  </si>
  <si>
    <t>ARMADA</t>
  </si>
  <si>
    <t>SC52860</t>
  </si>
  <si>
    <t>ESCAPE</t>
  </si>
  <si>
    <t>SPB56854</t>
  </si>
  <si>
    <t>TRANSIT</t>
  </si>
  <si>
    <t>S470478</t>
  </si>
  <si>
    <t>SILVERADO</t>
  </si>
  <si>
    <t>NO</t>
  </si>
  <si>
    <t>SC54815</t>
  </si>
  <si>
    <t>F250</t>
  </si>
  <si>
    <t>SP124251</t>
  </si>
  <si>
    <t>ENCLAVE</t>
  </si>
  <si>
    <t>SP304861</t>
  </si>
  <si>
    <t>S314010</t>
  </si>
  <si>
    <t>ESCALADE</t>
  </si>
  <si>
    <t>S160344</t>
  </si>
  <si>
    <t>KIA</t>
  </si>
  <si>
    <t>OPTIMA</t>
  </si>
  <si>
    <t>SP012104</t>
  </si>
  <si>
    <t>LEGACY</t>
  </si>
  <si>
    <t>S259344</t>
  </si>
  <si>
    <t>TOYOTA</t>
  </si>
  <si>
    <t>RAV4</t>
  </si>
  <si>
    <t>S325976</t>
  </si>
  <si>
    <t>SP262696</t>
  </si>
  <si>
    <t>YUKON</t>
  </si>
  <si>
    <t xml:space="preserve">      No</t>
  </si>
  <si>
    <t>S589053</t>
  </si>
  <si>
    <t>RAM</t>
  </si>
  <si>
    <t>S260798</t>
  </si>
  <si>
    <t>FORTE</t>
  </si>
  <si>
    <t>S400411</t>
  </si>
  <si>
    <t>Forester</t>
  </si>
  <si>
    <t>S141331</t>
  </si>
  <si>
    <t>Envision</t>
  </si>
  <si>
    <t>S004457</t>
  </si>
  <si>
    <t>S262285</t>
  </si>
  <si>
    <t>Jetta</t>
  </si>
  <si>
    <t>LUIS RAMIREZ</t>
  </si>
  <si>
    <t>S299394</t>
  </si>
  <si>
    <t>S113372</t>
  </si>
  <si>
    <t>S152088</t>
  </si>
  <si>
    <t>Yukon</t>
  </si>
  <si>
    <t>s303839</t>
  </si>
  <si>
    <t>XTS</t>
  </si>
  <si>
    <t>S381367</t>
  </si>
  <si>
    <t>4Runner</t>
  </si>
  <si>
    <t>Cherokee</t>
  </si>
  <si>
    <t>Tundra</t>
  </si>
  <si>
    <t>S621816</t>
  </si>
  <si>
    <t>S273416</t>
  </si>
  <si>
    <t>S587291</t>
  </si>
  <si>
    <t>SC31165</t>
  </si>
  <si>
    <t>F-250</t>
  </si>
  <si>
    <t>S251046</t>
  </si>
  <si>
    <t>Escalade</t>
  </si>
  <si>
    <t>S634942</t>
  </si>
  <si>
    <t>Wrangler</t>
  </si>
  <si>
    <t>SA76746</t>
  </si>
  <si>
    <t>S135947</t>
  </si>
  <si>
    <t>CTS</t>
  </si>
  <si>
    <t>S508277</t>
  </si>
  <si>
    <t>SL53956</t>
  </si>
  <si>
    <t>Nautilus</t>
  </si>
  <si>
    <t>S153027</t>
  </si>
  <si>
    <t>2500HD</t>
  </si>
  <si>
    <t>S242846</t>
  </si>
  <si>
    <t>Enclave</t>
  </si>
  <si>
    <t>S531407</t>
  </si>
  <si>
    <t>S139762</t>
  </si>
  <si>
    <t>s170898</t>
  </si>
  <si>
    <t>YES</t>
  </si>
  <si>
    <t>S322740</t>
  </si>
  <si>
    <t>S305048</t>
  </si>
  <si>
    <t>3500HD</t>
  </si>
  <si>
    <t>SF16589</t>
  </si>
  <si>
    <t>F-150</t>
  </si>
  <si>
    <t>S376311</t>
  </si>
  <si>
    <t>Sierra</t>
  </si>
  <si>
    <t>SP054446</t>
  </si>
  <si>
    <t>XT4</t>
  </si>
  <si>
    <t>STEVEN NOLET</t>
  </si>
  <si>
    <t>S127610</t>
  </si>
  <si>
    <t>S053048</t>
  </si>
  <si>
    <t>Encore</t>
  </si>
  <si>
    <t>SP160203</t>
  </si>
  <si>
    <t>S528051</t>
  </si>
  <si>
    <t>Atlas</t>
  </si>
  <si>
    <t>S168248A</t>
  </si>
  <si>
    <t>Acadia</t>
  </si>
  <si>
    <t>NV Passenger</t>
  </si>
  <si>
    <t>SP853667</t>
  </si>
  <si>
    <t>SE67730</t>
  </si>
  <si>
    <t>S614882</t>
  </si>
  <si>
    <t>S000172</t>
  </si>
  <si>
    <t>Tiguan</t>
  </si>
  <si>
    <t>S453499</t>
  </si>
  <si>
    <t>Ascent</t>
  </si>
  <si>
    <t>S101099</t>
  </si>
  <si>
    <t>Grand Waggoneer</t>
  </si>
  <si>
    <t>S033523</t>
  </si>
  <si>
    <t>Pilot</t>
  </si>
  <si>
    <t>STEVE ERNA</t>
  </si>
  <si>
    <t>TYLER DOAK</t>
  </si>
  <si>
    <t>S570862</t>
  </si>
  <si>
    <t>ROBERT BRECHT</t>
  </si>
  <si>
    <t>S300913</t>
  </si>
  <si>
    <t>SIERRA</t>
  </si>
  <si>
    <t>SP499389</t>
  </si>
  <si>
    <t>SORENTO</t>
  </si>
  <si>
    <t>S228895</t>
  </si>
  <si>
    <t>S319233</t>
  </si>
  <si>
    <t>S574756</t>
  </si>
  <si>
    <t>Kicks</t>
  </si>
  <si>
    <t>S213507</t>
  </si>
  <si>
    <t>Altima</t>
  </si>
  <si>
    <t>S166929</t>
  </si>
  <si>
    <t>SP504527</t>
  </si>
  <si>
    <t>Pacifica</t>
  </si>
  <si>
    <t>S250203</t>
  </si>
  <si>
    <t>SP277118</t>
  </si>
  <si>
    <t>S237813</t>
  </si>
  <si>
    <t>Cruze</t>
  </si>
  <si>
    <t>S235604</t>
  </si>
  <si>
    <t>Lacrosse</t>
  </si>
  <si>
    <t>SA11825</t>
  </si>
  <si>
    <t>Explorer</t>
  </si>
  <si>
    <t>S433598</t>
  </si>
  <si>
    <t>S135527</t>
  </si>
  <si>
    <t>S043543</t>
  </si>
  <si>
    <t>Accord</t>
  </si>
  <si>
    <t>S199404</t>
  </si>
  <si>
    <t>Yukon XL</t>
  </si>
  <si>
    <t>SP236021</t>
  </si>
  <si>
    <t>S145732</t>
  </si>
  <si>
    <t>S173451</t>
  </si>
  <si>
    <t>S215047</t>
  </si>
  <si>
    <t>Grand Cherokee</t>
  </si>
  <si>
    <t>S221692</t>
  </si>
  <si>
    <t>SC09162</t>
  </si>
  <si>
    <t>SP171559</t>
  </si>
  <si>
    <t>MARK ESPIRIQUETA</t>
  </si>
  <si>
    <t>PATRICK BOYD</t>
  </si>
  <si>
    <t>SAM SCHOLL</t>
  </si>
  <si>
    <t>ARCHY CLARY</t>
  </si>
  <si>
    <t>S100721</t>
  </si>
  <si>
    <t>OSBALDO QUIROGA</t>
  </si>
  <si>
    <t>S121686</t>
  </si>
  <si>
    <t>SP345920</t>
  </si>
  <si>
    <t>TERRAIN</t>
  </si>
  <si>
    <t>SP146969</t>
  </si>
  <si>
    <t>S101123</t>
  </si>
  <si>
    <t>S146375</t>
  </si>
  <si>
    <t>SPORTAGE</t>
  </si>
  <si>
    <t>S814811</t>
  </si>
  <si>
    <t>CAMRY</t>
  </si>
  <si>
    <t>S277100</t>
  </si>
  <si>
    <t>S224906</t>
  </si>
  <si>
    <t>SPRINTER</t>
  </si>
  <si>
    <t>S642388</t>
  </si>
  <si>
    <t>SONATA</t>
  </si>
  <si>
    <t>S355505A</t>
  </si>
  <si>
    <t>S113335</t>
  </si>
  <si>
    <t>XT5</t>
  </si>
  <si>
    <t>S105027</t>
  </si>
  <si>
    <t>SP158635</t>
  </si>
  <si>
    <t>XT6</t>
  </si>
  <si>
    <t>S110499</t>
  </si>
  <si>
    <t>S179673</t>
  </si>
  <si>
    <t>S104024</t>
  </si>
  <si>
    <t>S322323</t>
  </si>
  <si>
    <t>EQUINOX</t>
  </si>
  <si>
    <t>S905665</t>
  </si>
  <si>
    <t>S351226</t>
  </si>
  <si>
    <t>S085718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</si>
</sst>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3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9" fontId="0" fillId="0" borderId="0" xfId="0" applyNumberFormat="1" applyProtection="1">
      <protection locked="0"/>
    </xf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26</xdr:col>
      <xdr:colOff>539750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B4" sqref="B4"/>
    </sheetView>
  </sheetViews>
  <sheetFormatPr defaultRowHeight="15"/>
  <cols>
    <col min="1" max="4" width="25.7109375" customWidth="1"/>
    <col min="5" max="5" width="17.570312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152</v>
      </c>
      <c r="B2" s="2" t="s">
        <v>153</v>
      </c>
      <c r="C2" s="2" t="s">
        <v>160</v>
      </c>
      <c r="D2" s="2" t="s">
        <v>22</v>
      </c>
      <c r="E2" s="41" t="s">
        <v>7</v>
      </c>
    </row>
    <row r="3" spans="1:5">
      <c r="A3" s="2" t="s">
        <v>157</v>
      </c>
      <c r="B3" s="2" t="s">
        <v>159</v>
      </c>
      <c r="C3" s="2" t="s">
        <v>161</v>
      </c>
      <c r="D3" s="2" t="s">
        <v>154</v>
      </c>
      <c r="E3" s="3" t="s">
        <v>9</v>
      </c>
    </row>
    <row r="4" spans="1:5">
      <c r="A4" s="2" t="s">
        <v>158</v>
      </c>
      <c r="B4" s="2" t="s">
        <v>328</v>
      </c>
      <c r="C4" s="2" t="s">
        <v>162</v>
      </c>
      <c r="D4" s="2" t="s">
        <v>155</v>
      </c>
      <c r="E4" s="3" t="s">
        <v>10</v>
      </c>
    </row>
    <row r="5" spans="1:5">
      <c r="A5" s="2" t="s">
        <v>263</v>
      </c>
      <c r="B5" s="2"/>
      <c r="C5" s="2" t="s">
        <v>163</v>
      </c>
      <c r="D5" s="2" t="s">
        <v>156</v>
      </c>
      <c r="E5" s="3" t="s">
        <v>8</v>
      </c>
    </row>
    <row r="6" spans="1:5">
      <c r="A6" s="2" t="s">
        <v>284</v>
      </c>
      <c r="B6" s="2"/>
      <c r="C6" s="2" t="s">
        <v>164</v>
      </c>
      <c r="D6" s="2"/>
      <c r="E6" s="3" t="s">
        <v>11</v>
      </c>
    </row>
    <row r="7" spans="1:5">
      <c r="A7" s="2" t="s">
        <v>324</v>
      </c>
      <c r="B7" s="2"/>
      <c r="C7" s="2" t="s">
        <v>165</v>
      </c>
      <c r="D7" s="2"/>
      <c r="E7" s="3" t="s">
        <v>12</v>
      </c>
    </row>
    <row r="8" spans="1:5">
      <c r="A8" s="2"/>
      <c r="B8" s="2"/>
      <c r="C8" s="2" t="s">
        <v>166</v>
      </c>
      <c r="D8" s="2"/>
      <c r="E8" s="3" t="s">
        <v>13</v>
      </c>
    </row>
    <row r="9" spans="1:5">
      <c r="A9" s="2"/>
      <c r="B9" s="2"/>
      <c r="C9" s="2" t="s">
        <v>167</v>
      </c>
      <c r="D9" s="2"/>
      <c r="E9" s="3" t="s">
        <v>14</v>
      </c>
    </row>
    <row r="10" spans="1:5">
      <c r="A10" s="2"/>
      <c r="B10" s="2"/>
      <c r="C10" s="2" t="s">
        <v>173</v>
      </c>
      <c r="D10" s="2"/>
      <c r="E10" s="3" t="s">
        <v>15</v>
      </c>
    </row>
    <row r="11" spans="1:5">
      <c r="A11" s="2"/>
      <c r="B11" s="2"/>
      <c r="C11" s="2" t="s">
        <v>174</v>
      </c>
      <c r="D11" s="2"/>
      <c r="E11" s="3" t="s">
        <v>16</v>
      </c>
    </row>
    <row r="12" spans="1:5">
      <c r="A12" s="2"/>
      <c r="B12" s="2"/>
      <c r="C12" s="2" t="s">
        <v>220</v>
      </c>
      <c r="D12" s="2"/>
      <c r="E12" s="3" t="s">
        <v>17</v>
      </c>
    </row>
    <row r="13" spans="1:5">
      <c r="A13" s="2"/>
      <c r="B13" s="2"/>
      <c r="C13" s="2" t="s">
        <v>285</v>
      </c>
      <c r="D13" s="2"/>
      <c r="E13" s="3" t="s">
        <v>18</v>
      </c>
    </row>
    <row r="14" spans="1:5">
      <c r="A14" s="2"/>
      <c r="B14" s="2"/>
      <c r="C14" s="2" t="s">
        <v>287</v>
      </c>
      <c r="D14" s="2"/>
      <c r="E14" s="3" t="s">
        <v>19</v>
      </c>
    </row>
    <row r="15" spans="1:5">
      <c r="A15" s="2"/>
      <c r="B15" s="2"/>
      <c r="C15" s="2" t="s">
        <v>323</v>
      </c>
      <c r="D15" s="2"/>
      <c r="E15" s="3" t="s">
        <v>20</v>
      </c>
    </row>
    <row r="16" spans="1:5">
      <c r="A16" s="2"/>
      <c r="B16" s="2"/>
      <c r="C16" s="2" t="s">
        <v>325</v>
      </c>
      <c r="D16" s="2"/>
      <c r="E16" s="3" t="s">
        <v>21</v>
      </c>
    </row>
    <row r="17" spans="1:5">
      <c r="A17" s="2"/>
      <c r="B17" s="2"/>
      <c r="C17" s="2" t="s">
        <v>326</v>
      </c>
      <c r="D17" s="2"/>
      <c r="E17" s="3" t="s">
        <v>22</v>
      </c>
    </row>
    <row r="18" spans="1:5">
      <c r="A18" s="2"/>
      <c r="B18" s="2"/>
      <c r="C18" s="2"/>
      <c r="D18" s="2"/>
      <c r="E18" s="3" t="s">
        <v>23</v>
      </c>
    </row>
    <row r="19" spans="1:5">
      <c r="A19" s="2"/>
      <c r="B19" s="2"/>
      <c r="C19" s="2"/>
      <c r="D19" s="2"/>
      <c r="E19" s="3" t="s">
        <v>24</v>
      </c>
    </row>
    <row r="20" spans="1:5">
      <c r="A20" s="2"/>
      <c r="B20" s="2"/>
      <c r="C20" s="2"/>
      <c r="D20" s="2"/>
      <c r="E20" s="3" t="s">
        <v>25</v>
      </c>
    </row>
    <row r="21" spans="1:5">
      <c r="A21" s="2"/>
      <c r="B21" s="2"/>
      <c r="C21" s="2"/>
      <c r="D21" s="2"/>
      <c r="E21" s="3" t="s">
        <v>26</v>
      </c>
    </row>
    <row r="22" spans="1:5">
      <c r="A22" s="2"/>
      <c r="B22" s="2"/>
      <c r="C22" s="2"/>
      <c r="D22" s="2"/>
      <c r="E22" s="3" t="s">
        <v>27</v>
      </c>
    </row>
    <row r="23" spans="1:5">
      <c r="A23" s="2"/>
      <c r="B23" s="2"/>
      <c r="C23" s="2"/>
      <c r="D23" s="2"/>
      <c r="E23" s="3" t="s">
        <v>28</v>
      </c>
    </row>
    <row r="24" spans="1:5">
      <c r="A24" s="2"/>
      <c r="B24" s="2"/>
      <c r="C24" s="2"/>
      <c r="D24" s="2"/>
      <c r="E24" s="3" t="s">
        <v>29</v>
      </c>
    </row>
    <row r="25" spans="1:5">
      <c r="A25" s="2"/>
      <c r="B25" s="2"/>
      <c r="C25" s="2"/>
      <c r="D25" s="2"/>
      <c r="E25" s="3" t="s">
        <v>30</v>
      </c>
    </row>
    <row r="26" spans="1:5">
      <c r="A26" s="2"/>
      <c r="B26" s="2"/>
      <c r="C26" s="2"/>
      <c r="D26" s="2"/>
      <c r="E26" s="3" t="s">
        <v>31</v>
      </c>
    </row>
    <row r="27" spans="1:5">
      <c r="A27" s="2"/>
      <c r="B27" s="2"/>
      <c r="C27" s="2"/>
      <c r="D27" s="2"/>
      <c r="E27" s="3" t="s">
        <v>32</v>
      </c>
    </row>
    <row r="28" spans="1:5">
      <c r="A28" s="2"/>
      <c r="B28" s="2"/>
      <c r="C28" s="2"/>
      <c r="D28" s="2"/>
      <c r="E28" s="3" t="s">
        <v>33</v>
      </c>
    </row>
    <row r="29" spans="1:5">
      <c r="A29" s="2"/>
      <c r="B29" s="2"/>
      <c r="C29" s="2"/>
      <c r="D29" s="2"/>
      <c r="E29" s="3" t="s">
        <v>34</v>
      </c>
    </row>
    <row r="30" spans="1:5">
      <c r="A30" s="2"/>
      <c r="B30" s="2"/>
      <c r="C30" s="2"/>
      <c r="D30" s="2"/>
      <c r="E30" s="3" t="s">
        <v>35</v>
      </c>
    </row>
    <row r="31" spans="1:5">
      <c r="A31" s="2"/>
      <c r="B31" s="2"/>
      <c r="C31" s="2"/>
      <c r="D31" s="2"/>
      <c r="E31" s="3" t="s">
        <v>36</v>
      </c>
    </row>
    <row r="32" spans="1:5">
      <c r="A32" s="2"/>
      <c r="B32" s="2"/>
      <c r="C32" s="2"/>
      <c r="D32" s="2"/>
      <c r="E32" s="3" t="s">
        <v>37</v>
      </c>
    </row>
    <row r="33" spans="1:5">
      <c r="A33" s="2"/>
      <c r="B33" s="2"/>
      <c r="C33" s="2"/>
      <c r="D33" s="2"/>
      <c r="E33" s="3" t="s">
        <v>38</v>
      </c>
    </row>
    <row r="34" spans="1:5">
      <c r="A34" s="2"/>
      <c r="B34" s="2"/>
      <c r="C34" s="2"/>
      <c r="D34" s="2"/>
      <c r="E34" s="3" t="s">
        <v>39</v>
      </c>
    </row>
    <row r="35" spans="1:5">
      <c r="A35" s="2"/>
      <c r="B35" s="2"/>
      <c r="C35" s="2"/>
      <c r="D35" s="2"/>
      <c r="E35" s="3" t="s">
        <v>40</v>
      </c>
    </row>
    <row r="36" spans="1:5">
      <c r="A36" s="2"/>
      <c r="B36" s="2"/>
      <c r="C36" s="2"/>
      <c r="D36" s="2"/>
      <c r="E36" s="3" t="s">
        <v>41</v>
      </c>
    </row>
    <row r="37" spans="1:5">
      <c r="A37" s="2"/>
      <c r="B37" s="2"/>
      <c r="C37" s="2"/>
      <c r="D37" s="2"/>
      <c r="E37" s="3" t="s">
        <v>42</v>
      </c>
    </row>
    <row r="38" spans="1:5">
      <c r="A38" s="2"/>
      <c r="B38" s="2"/>
      <c r="C38" s="2"/>
      <c r="D38" s="2"/>
      <c r="E38" s="3" t="s">
        <v>43</v>
      </c>
    </row>
    <row r="39" spans="1:5">
      <c r="A39" s="2"/>
      <c r="B39" s="2"/>
      <c r="C39" s="2"/>
      <c r="D39" s="2"/>
      <c r="E39" s="3" t="s">
        <v>44</v>
      </c>
    </row>
    <row r="40" spans="1:5">
      <c r="A40" s="2"/>
      <c r="B40" s="2"/>
      <c r="C40" s="2"/>
      <c r="D40" s="2"/>
      <c r="E40" s="3" t="s">
        <v>45</v>
      </c>
    </row>
    <row r="41" spans="1:5">
      <c r="A41" s="2"/>
      <c r="B41" s="2"/>
      <c r="C41" s="2"/>
      <c r="D41" s="2"/>
      <c r="E41" s="3" t="s">
        <v>46</v>
      </c>
    </row>
    <row r="42" spans="1:5">
      <c r="A42" s="2"/>
      <c r="B42" s="2"/>
      <c r="C42" s="2"/>
      <c r="D42" s="2"/>
      <c r="E42" s="3" t="s">
        <v>47</v>
      </c>
    </row>
    <row r="43" spans="1:5">
      <c r="A43" s="2"/>
      <c r="B43" s="2"/>
      <c r="C43" s="2"/>
      <c r="D43" s="2"/>
      <c r="E43" s="3" t="s">
        <v>48</v>
      </c>
    </row>
    <row r="44" spans="1:5">
      <c r="A44" s="2"/>
      <c r="B44" s="2"/>
      <c r="C44" s="2"/>
      <c r="D44" s="2"/>
      <c r="E44" s="3" t="s">
        <v>49</v>
      </c>
    </row>
    <row r="45" spans="1:5">
      <c r="A45" s="2"/>
      <c r="B45" s="2"/>
      <c r="C45" s="2"/>
      <c r="D45" s="2"/>
      <c r="E45" s="3" t="s">
        <v>50</v>
      </c>
    </row>
    <row r="46" spans="1:5">
      <c r="A46" s="2"/>
      <c r="B46" s="2"/>
      <c r="C46" s="2"/>
      <c r="D46" s="2"/>
      <c r="E46" s="3" t="s">
        <v>51</v>
      </c>
    </row>
    <row r="47" spans="1:5">
      <c r="A47" s="2"/>
      <c r="B47" s="2"/>
      <c r="C47" s="2"/>
      <c r="D47" s="2"/>
      <c r="E47" s="3" t="s">
        <v>52</v>
      </c>
    </row>
    <row r="48" spans="1:5">
      <c r="A48" s="2"/>
      <c r="B48" s="2"/>
      <c r="C48" s="2"/>
      <c r="D48" s="2"/>
      <c r="E48" s="3" t="s">
        <v>53</v>
      </c>
    </row>
    <row r="49" spans="1:5">
      <c r="A49" s="2"/>
      <c r="B49" s="2"/>
      <c r="C49" s="2"/>
      <c r="D49" s="2"/>
      <c r="E49" s="3" t="s">
        <v>6</v>
      </c>
    </row>
    <row r="50" spans="1:5">
      <c r="A50" s="2"/>
      <c r="B50" s="2"/>
      <c r="C50" s="2"/>
      <c r="D50" s="2"/>
      <c r="E50" s="3" t="s">
        <v>54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AE87-7C12-49F4-B6EE-CB8276C0B5ED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 activeCell="C1" sqref="C1"/>
    </sheetView>
  </sheetViews>
  <sheetFormatPr defaultRowHeight="15"/>
  <cols>
    <col min="1" max="1" width="31.28515625" bestFit="1" customWidth="1"/>
    <col min="2" max="7" width="15.7109375" customWidth="1"/>
  </cols>
  <sheetData>
    <row r="1" spans="1:7" ht="22.5" customHeight="1">
      <c r="A1" s="25" t="s">
        <v>138</v>
      </c>
      <c r="B1" s="21"/>
    </row>
    <row r="2" spans="1:7" ht="22.5" customHeight="1">
      <c r="A2" s="28" t="s">
        <v>151</v>
      </c>
      <c r="B2" s="22" t="s">
        <v>140</v>
      </c>
      <c r="C2" s="32" t="s">
        <v>106</v>
      </c>
      <c r="D2" s="32" t="s">
        <v>110</v>
      </c>
      <c r="E2" s="32" t="s">
        <v>112</v>
      </c>
      <c r="F2" s="32" t="s">
        <v>113</v>
      </c>
      <c r="G2" s="32" t="s">
        <v>115</v>
      </c>
    </row>
    <row r="3" spans="1:7" ht="22.5" customHeight="1">
      <c r="A3" s="5" t="s">
        <v>124</v>
      </c>
      <c r="B3" s="6">
        <f>'Scoreboard Total'!B3</f>
        <v>107</v>
      </c>
      <c r="C3" s="6">
        <f>COUNTIF('Sales Log'!$W$14:$W$213,30)</f>
        <v>45</v>
      </c>
      <c r="D3" s="6">
        <f>COUNTIF('Sales Log'!$W$14:$W$213,45)</f>
        <v>12</v>
      </c>
      <c r="E3" s="6">
        <f>COUNTIF('Sales Log'!$W$14:$W$213,60)</f>
        <v>13</v>
      </c>
      <c r="F3" s="6">
        <f>COUNTIF('Sales Log'!$W$14:$W$213,90)</f>
        <v>18</v>
      </c>
      <c r="G3" s="6">
        <f>COUNTIF('Sales Log'!$W$14:$W$213,91)</f>
        <v>19</v>
      </c>
    </row>
    <row r="4" spans="1:7" ht="22.5" customHeight="1">
      <c r="A4" s="5" t="s">
        <v>148</v>
      </c>
      <c r="B4" s="9">
        <f>B3/'Sales Log'!$D$214</f>
        <v>1</v>
      </c>
      <c r="C4" s="9">
        <f>C3/'Sales Log'!$D$214</f>
        <v>0.42056074766355139</v>
      </c>
      <c r="D4" s="9">
        <f>D3/'Sales Log'!$D$214</f>
        <v>0.11214953271028037</v>
      </c>
      <c r="E4" s="9">
        <f>E3/'Sales Log'!$D$214</f>
        <v>0.12149532710280374</v>
      </c>
      <c r="F4" s="9">
        <f>F3/'Sales Log'!$D$214</f>
        <v>0.16822429906542055</v>
      </c>
      <c r="G4" s="9">
        <f>G3/'Sales Log'!$D$214</f>
        <v>0.17757009345794392</v>
      </c>
    </row>
    <row r="5" spans="1:7" ht="22.5" customHeight="1">
      <c r="A5" s="5" t="s">
        <v>141</v>
      </c>
      <c r="B5" s="14">
        <f>COUNTIFS('Sales Log'!$I$14:$I$213,"No")/B3</f>
        <v>0.48598130841121495</v>
      </c>
      <c r="C5" s="14">
        <f>COUNTIFS('Sales Log'!$I$14:$I$213,"No",'Sales Log'!$W$14:$W$213,30)/C3</f>
        <v>0.42222222222222222</v>
      </c>
      <c r="D5" s="14">
        <f>COUNTIFS('Sales Log'!$I$14:$I$213,"No",'Sales Log'!$W$14:$W$213,45)/D3</f>
        <v>0.66666666666666663</v>
      </c>
      <c r="E5" s="14">
        <f>COUNTIFS('Sales Log'!$I$14:$I$213,"No",'Sales Log'!$W$14:$W$213,60)/E3</f>
        <v>0.46153846153846156</v>
      </c>
      <c r="F5" s="14">
        <f>COUNTIFS('Sales Log'!$I$14:$I$213,"No",'Sales Log'!$W$14:$W$213,90)/F3</f>
        <v>0.66666666666666663</v>
      </c>
      <c r="G5" s="14">
        <f>COUNTIFS('Sales Log'!$I$14:$I$213,"No",'Sales Log'!$W$14:$W$213,91)/G3</f>
        <v>0.36842105263157893</v>
      </c>
    </row>
    <row r="6" spans="1:7" s="4" customFormat="1" ht="21.75" customHeight="1">
      <c r="A6" s="11" t="s">
        <v>125</v>
      </c>
      <c r="B6" s="7">
        <f>'Sales Log'!$F$214</f>
        <v>58.10280373831776</v>
      </c>
      <c r="C6" s="24">
        <f>AVERAGEIF('Sales Log'!$W$14:$W$213,30,'Sales Log'!$F$14:$F$213)</f>
        <v>15.644444444444444</v>
      </c>
      <c r="D6" s="24">
        <f>AVERAGEIF('Sales Log'!$W$14:$W$213,45,'Sales Log'!$F$14:$F$213)</f>
        <v>37.583333333333336</v>
      </c>
      <c r="E6" s="24">
        <f>AVERAGEIF('Sales Log'!$W$14:$W$213,60,'Sales Log'!$F$14:$F$213)</f>
        <v>54.07692307692308</v>
      </c>
      <c r="F6" s="24">
        <f>AVERAGEIF('Sales Log'!$W$14:$W$213,90,'Sales Log'!$F$14:$F$213)</f>
        <v>75.611111111111114</v>
      </c>
      <c r="G6" s="24">
        <f>AVERAGEIF('Sales Log'!$W$14:$W$213,91,'Sales Log'!$F$14:$F$213)</f>
        <v>157.78947368421052</v>
      </c>
    </row>
    <row r="7" spans="1:7" ht="22.5" customHeight="1">
      <c r="A7" s="5" t="s">
        <v>127</v>
      </c>
      <c r="B7" s="8">
        <f>'Sales Log'!$K$214</f>
        <v>38632.283644859817</v>
      </c>
      <c r="C7" s="8">
        <f>AVERAGEIF('Sales Log'!$W$14:$W$213,30,'Sales Log'!$K$14:$K$213)</f>
        <v>36066.409777777779</v>
      </c>
      <c r="D7" s="8">
        <f>AVERAGEIF('Sales Log'!$W$14:$W$213,45,'Sales Log'!$K$14:$K$213)</f>
        <v>49616.825833333336</v>
      </c>
      <c r="E7" s="8">
        <f>AVERAGEIF('Sales Log'!$W$14:$W$213,60,'Sales Log'!$K$14:$K$213)</f>
        <v>46011.153846153844</v>
      </c>
      <c r="F7" s="8">
        <f>AVERAGEIF('Sales Log'!$W$14:$W$213,90,'Sales Log'!$K$14:$K$213)</f>
        <v>31350.944444444445</v>
      </c>
      <c r="G7" s="8">
        <f>AVERAGEIF('Sales Log'!$W$14:$W$213,91,'Sales Log'!$K$14:$K$213)</f>
        <v>39621.15789473684</v>
      </c>
    </row>
    <row r="8" spans="1:7" ht="22.5" customHeight="1">
      <c r="A8" s="5" t="s">
        <v>149</v>
      </c>
      <c r="B8" s="9">
        <f>'Sales Log'!$N$214</f>
        <v>0.97655062566696926</v>
      </c>
      <c r="C8" s="14">
        <f>AVERAGEIF('Sales Log'!$W$14:$W$213,30,'Sales Log'!$N14:$N$213)</f>
        <v>0.97930750655974463</v>
      </c>
      <c r="D8" s="14">
        <f>AVERAGEIF('Sales Log'!$W$14:$W$213,45,'Sales Log'!$N14:$N$213)</f>
        <v>0.98282506107972356</v>
      </c>
      <c r="E8" s="14">
        <f>AVERAGEIF('Sales Log'!$W$14:$W$213,60,'Sales Log'!$N14:$N$213)</f>
        <v>0.98029486549099087</v>
      </c>
      <c r="F8" s="14">
        <f>AVERAGEIF('Sales Log'!$W$14:$W$213,90,'Sales Log'!$N14:$N$213)</f>
        <v>0.96829778397984712</v>
      </c>
      <c r="G8" s="14">
        <f>AVERAGEIF('Sales Log'!$W$14:$W$213,91,'Sales Log'!$N14:$N$213)</f>
        <v>0.9618313789301417</v>
      </c>
    </row>
    <row r="9" spans="1:7" ht="22.5" customHeight="1">
      <c r="A9" s="5" t="s">
        <v>131</v>
      </c>
      <c r="B9" s="8">
        <f>'Sales Log'!$O$214</f>
        <v>461.80981308411208</v>
      </c>
      <c r="C9" s="8">
        <f>AVERAGEIF('Sales Log'!$W$14:$W$213,30,'Sales Log'!$O$14:$O$213)</f>
        <v>362.36799999999999</v>
      </c>
      <c r="D9" s="8">
        <f>AVERAGEIF('Sales Log'!$W$14:$W$213,45,'Sales Log'!$O$14:$O$213)</f>
        <v>333.25749999999971</v>
      </c>
      <c r="E9" s="8">
        <f>AVERAGEIF('Sales Log'!$W$14:$W$213,60,'Sales Log'!$O$14:$O$213)</f>
        <v>344.46153846153845</v>
      </c>
      <c r="F9" s="8">
        <f>AVERAGEIF('Sales Log'!$W$14:$W$213,90,'Sales Log'!$O$14:$O$213)</f>
        <v>389.61111111111109</v>
      </c>
      <c r="G9" s="8">
        <f>AVERAGEIF('Sales Log'!$W$14:$W$213,91,'Sales Log'!$O$14:$O$213)</f>
        <v>927.21052631578948</v>
      </c>
    </row>
    <row r="10" spans="1:7" ht="22.5" customHeight="1">
      <c r="A10" s="5" t="s">
        <v>150</v>
      </c>
      <c r="B10" s="8">
        <f>'Sales Log'!$P$214</f>
        <v>3340.876448598131</v>
      </c>
      <c r="C10" s="8">
        <f>AVERAGEIF('Sales Log'!$W$14:$W$213,30,'Sales Log'!$P$14:$P$213)</f>
        <v>3948.3728888888891</v>
      </c>
      <c r="D10" s="8">
        <f>AVERAGEIF('Sales Log'!$W$14:$W$213,45,'Sales Log'!$P$14:$P$213)</f>
        <v>4905.333333333333</v>
      </c>
      <c r="E10" s="8">
        <f>AVERAGEIF('Sales Log'!$W$14:$W$213,60,'Sales Log'!$P$14:$P$213)</f>
        <v>3613.5384615384614</v>
      </c>
      <c r="F10" s="8">
        <f>AVERAGEIF('Sales Log'!$W$14:$W$213,90,'Sales Log'!$P$14:$P$213)</f>
        <v>2506.3333333333335</v>
      </c>
      <c r="G10" s="8">
        <f>AVERAGEIF('Sales Log'!$W$14:$W$213,91,'Sales Log'!$P$14:$P$213)</f>
        <v>1518.0526315789473</v>
      </c>
    </row>
    <row r="11" spans="1:7" ht="22.5" customHeight="1">
      <c r="A11" s="5" t="s">
        <v>133</v>
      </c>
      <c r="B11" s="8">
        <f>'Sales Log'!$Q$214</f>
        <v>1706.7631775700936</v>
      </c>
      <c r="C11" s="8">
        <f>AVERAGEIF('Sales Log'!$W$14:$W$213,30,'Sales Log'!$Q$14:$Q$213)</f>
        <v>1542.4146666666668</v>
      </c>
      <c r="D11" s="8">
        <f>AVERAGEIF('Sales Log'!$W$14:$W$213,45,'Sales Log'!$Q$14:$Q$213)</f>
        <v>2112.5833333333335</v>
      </c>
      <c r="E11" s="8">
        <f>AVERAGEIF('Sales Log'!$W$14:$W$213,60,'Sales Log'!$Q$14:$Q$213)</f>
        <v>2270.4615384615386</v>
      </c>
      <c r="F11" s="8">
        <f>AVERAGEIF('Sales Log'!$W$14:$W$213,90,'Sales Log'!$Q$14:$Q$213)</f>
        <v>1616.0555555555557</v>
      </c>
      <c r="G11" s="8">
        <f>AVERAGEIF('Sales Log'!$W$14:$W$213,91,'Sales Log'!$Q$14:$Q$213)</f>
        <v>1539.9473684210527</v>
      </c>
    </row>
    <row r="12" spans="1:7" ht="22.5" customHeight="1">
      <c r="A12" s="5" t="s">
        <v>134</v>
      </c>
      <c r="B12" s="8">
        <f>'Sales Log'!$R$214</f>
        <v>5047.6396261682239</v>
      </c>
      <c r="C12" s="8">
        <f>C10+C11</f>
        <v>5490.7875555555556</v>
      </c>
      <c r="D12" s="8">
        <f t="shared" ref="D12:G12" si="0">D10+D11</f>
        <v>7017.9166666666661</v>
      </c>
      <c r="E12" s="8">
        <f t="shared" si="0"/>
        <v>5884</v>
      </c>
      <c r="F12" s="8">
        <f t="shared" si="0"/>
        <v>4122.3888888888887</v>
      </c>
      <c r="G12" s="8">
        <f t="shared" si="0"/>
        <v>3058</v>
      </c>
    </row>
    <row r="13" spans="1:7" ht="21.75" customHeight="1">
      <c r="A13" s="5" t="s">
        <v>135</v>
      </c>
      <c r="B13" s="10">
        <f>B12*B3</f>
        <v>540097.43999999994</v>
      </c>
      <c r="C13" s="10">
        <f>C12*C3</f>
        <v>247085.44</v>
      </c>
      <c r="D13" s="10">
        <f t="shared" ref="D13:G13" si="1">D12*D3</f>
        <v>84215</v>
      </c>
      <c r="E13" s="10">
        <f t="shared" si="1"/>
        <v>76492</v>
      </c>
      <c r="F13" s="10">
        <f t="shared" si="1"/>
        <v>74203</v>
      </c>
      <c r="G13" s="10">
        <f t="shared" si="1"/>
        <v>58102</v>
      </c>
    </row>
    <row r="14" spans="1:7" ht="21.75" customHeight="1">
      <c r="A14" s="5" t="s">
        <v>89</v>
      </c>
      <c r="B14" s="9">
        <f>(B12/(B7)*(360/B6))</f>
        <v>0.80954942957906251</v>
      </c>
      <c r="C14" s="9">
        <f>(C12/(C7)*(360/C6))</f>
        <v>3.5032738181985508</v>
      </c>
      <c r="D14" s="9">
        <f t="shared" ref="D14:G14" si="2">(D12/(D7)*(360/D6))</f>
        <v>1.3548350842471886</v>
      </c>
      <c r="E14" s="9">
        <f t="shared" si="2"/>
        <v>0.85133417520433341</v>
      </c>
      <c r="F14" s="9">
        <f t="shared" si="2"/>
        <v>0.62605892493473569</v>
      </c>
      <c r="G14" s="9">
        <f t="shared" si="2"/>
        <v>0.17609003955352223</v>
      </c>
    </row>
    <row r="15" spans="1:7" ht="21.75" customHeight="1">
      <c r="A15" s="5" t="s">
        <v>136</v>
      </c>
      <c r="B15" s="9">
        <f>'Sales Log'!AA214/'Scoreboard Total'!B3</f>
        <v>0.31775700934579437</v>
      </c>
      <c r="C15" s="9">
        <f>COUNTIFS('Sales Log'!$W$14:$W$213,30,'Sales Log'!$AA$14:$AA$213,"Yes")/C$3</f>
        <v>0.33333333333333331</v>
      </c>
      <c r="D15" s="9">
        <f>COUNTIFS('Sales Log'!$W$14:$W$213,45,'Sales Log'!$AA$14:$AA$213,"Yes")/D$3</f>
        <v>0.25</v>
      </c>
      <c r="E15" s="9">
        <f>COUNTIFS('Sales Log'!$W$14:$W$213,60,'Sales Log'!$AA$14:$AA$213,"Yes")/E$3</f>
        <v>0.30769230769230771</v>
      </c>
      <c r="F15" s="9">
        <f>COUNTIFS('Sales Log'!$W$14:$W$213,90,'Sales Log'!$AA$14:$AA$213,"Yes")/F$3</f>
        <v>0.27777777777777779</v>
      </c>
      <c r="G15" s="9">
        <f>COUNTIFS('Sales Log'!$W$14:$W$213,91,'Sales Log'!$AA$14:$AA$213,"Yes")/G$3</f>
        <v>0.36842105263157893</v>
      </c>
    </row>
    <row r="16" spans="1:7" ht="21.75" customHeight="1">
      <c r="A16" s="5" t="s">
        <v>137</v>
      </c>
      <c r="B16" s="114">
        <f>'Sales Log'!$AB$214</f>
        <v>-32.074672897196258</v>
      </c>
      <c r="C16" s="114">
        <f>AVERAGEIF('Sales Log'!$W$14:$W$213,30,'Sales Log'!$AB$14:$AB$213)</f>
        <v>0</v>
      </c>
      <c r="D16" s="114">
        <f>AVERAGEIF('Sales Log'!$W$14:$W$213,45,'Sales Log'!$AB$14:$AB$213)</f>
        <v>-160.99916666666667</v>
      </c>
      <c r="E16" s="114">
        <f>AVERAGEIF('Sales Log'!$W$14:$W$213,60,'Sales Log'!$AB$14:$AB$213)</f>
        <v>134.61538461538461</v>
      </c>
      <c r="F16" s="114">
        <f>AVERAGEIF('Sales Log'!$W$14:$W$213,90,'Sales Log'!$AB$14:$AB$213)</f>
        <v>-55.555555555555557</v>
      </c>
      <c r="G16" s="114">
        <f>AVERAGEIF('Sales Log'!$W$14:$W$213,91,'Sales Log'!$AB$14:$AB$213)</f>
        <v>-118.42105263157895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E6FB-5094-489C-AF42-53A89B761F39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tabSelected="1" topLeftCell="B1" zoomScale="75" zoomScaleNormal="75" workbookViewId="0">
      <pane ySplit="13" topLeftCell="A97" activePane="bottomLeft" state="frozen"/>
      <selection pane="bottomLeft" activeCell="B123" sqref="B123"/>
    </sheetView>
  </sheetViews>
  <sheetFormatPr defaultColWidth="9.140625" defaultRowHeight="15.75"/>
  <cols>
    <col min="1" max="1" width="8.7109375" style="109" customWidth="1"/>
    <col min="2" max="2" width="10.42578125" style="109" customWidth="1"/>
    <col min="3" max="3" width="7.28515625" style="110" customWidth="1"/>
    <col min="4" max="4" width="13.7109375" style="110" bestFit="1" customWidth="1"/>
    <col min="5" max="5" width="14.42578125" style="110" bestFit="1" customWidth="1"/>
    <col min="6" max="6" width="8.28515625" style="110" customWidth="1"/>
    <col min="7" max="7" width="18.85546875" style="109" bestFit="1" customWidth="1"/>
    <col min="8" max="9" width="16.42578125" style="111" customWidth="1"/>
    <col min="10" max="10" width="16.42578125" style="51" customWidth="1"/>
    <col min="11" max="11" width="15.140625" style="51" customWidth="1"/>
    <col min="12" max="12" width="12.140625" style="51" customWidth="1"/>
    <col min="13" max="13" width="10" style="51" customWidth="1"/>
    <col min="14" max="15" width="12.140625" style="51" customWidth="1"/>
    <col min="16" max="17" width="12.140625" style="112" customWidth="1"/>
    <col min="18" max="18" width="9.140625" style="51" hidden="1" customWidth="1"/>
    <col min="19" max="19" width="7.85546875" style="51" hidden="1" customWidth="1"/>
    <col min="20" max="20" width="22" style="51" customWidth="1"/>
    <col min="21" max="21" width="22.42578125" style="51" customWidth="1"/>
    <col min="22" max="22" width="17.5703125" style="51" customWidth="1"/>
    <col min="23" max="23" width="12.140625" style="51" hidden="1" customWidth="1"/>
    <col min="24" max="24" width="18.85546875" style="51" hidden="1" customWidth="1"/>
    <col min="25" max="25" width="7.140625" style="51" hidden="1" customWidth="1"/>
    <col min="26" max="26" width="10.140625" style="51" hidden="1" customWidth="1"/>
    <col min="27" max="27" width="8.7109375" style="51" customWidth="1"/>
    <col min="28" max="28" width="13.85546875" style="51" customWidth="1"/>
    <col min="29" max="16384" width="9.140625" style="51"/>
  </cols>
  <sheetData>
    <row r="1" spans="1:28" ht="21">
      <c r="A1" s="46" t="s">
        <v>55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5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6" t="s">
        <v>56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8"/>
    </row>
    <row r="4" spans="1:28" ht="19.5" customHeight="1">
      <c r="A4" s="52" t="s">
        <v>57</v>
      </c>
      <c r="B4" s="119" t="s">
        <v>58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20"/>
    </row>
    <row r="5" spans="1:28" ht="19.5" customHeight="1">
      <c r="A5" s="52" t="s">
        <v>59</v>
      </c>
      <c r="B5" s="119" t="s">
        <v>60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20"/>
    </row>
    <row r="6" spans="1:28" ht="19.5" customHeight="1">
      <c r="A6" s="52" t="s">
        <v>61</v>
      </c>
      <c r="B6" s="119" t="s">
        <v>62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20"/>
    </row>
    <row r="7" spans="1:28" ht="19.5" customHeight="1">
      <c r="A7" s="52" t="s">
        <v>63</v>
      </c>
      <c r="B7" s="119" t="s">
        <v>64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20"/>
    </row>
    <row r="8" spans="1:28" ht="19.5" customHeight="1">
      <c r="A8" s="52" t="s">
        <v>65</v>
      </c>
      <c r="B8" s="119" t="s">
        <v>66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20"/>
    </row>
    <row r="9" spans="1:28" ht="19.5" customHeight="1">
      <c r="A9" s="53" t="s">
        <v>67</v>
      </c>
      <c r="B9" s="121" t="s">
        <v>68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2"/>
    </row>
    <row r="10" spans="1:28" ht="19.5" customHeight="1">
      <c r="A10" s="53" t="s">
        <v>69</v>
      </c>
      <c r="B10" s="121" t="s">
        <v>70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2"/>
    </row>
    <row r="11" spans="1:28" ht="15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110.25">
      <c r="A12" s="56" t="s">
        <v>71</v>
      </c>
      <c r="B12" s="56" t="s">
        <v>72</v>
      </c>
      <c r="C12" s="57" t="s">
        <v>73</v>
      </c>
      <c r="D12" s="57" t="s">
        <v>74</v>
      </c>
      <c r="E12" s="57" t="s">
        <v>75</v>
      </c>
      <c r="F12" s="57" t="s">
        <v>76</v>
      </c>
      <c r="G12" s="56" t="s">
        <v>77</v>
      </c>
      <c r="H12" s="56" t="s">
        <v>78</v>
      </c>
      <c r="I12" s="56" t="s">
        <v>79</v>
      </c>
      <c r="J12" s="58" t="s">
        <v>80</v>
      </c>
      <c r="K12" s="58" t="s">
        <v>81</v>
      </c>
      <c r="L12" s="58" t="s">
        <v>82</v>
      </c>
      <c r="M12" s="58" t="s">
        <v>83</v>
      </c>
      <c r="N12" s="58" t="s">
        <v>84</v>
      </c>
      <c r="O12" s="58" t="s">
        <v>85</v>
      </c>
      <c r="P12" s="58" t="s">
        <v>86</v>
      </c>
      <c r="Q12" s="58" t="s">
        <v>87</v>
      </c>
      <c r="R12" s="58" t="s">
        <v>88</v>
      </c>
      <c r="S12" s="58" t="s">
        <v>89</v>
      </c>
      <c r="T12" s="58" t="s">
        <v>90</v>
      </c>
      <c r="U12" s="58" t="s">
        <v>91</v>
      </c>
      <c r="V12" s="58" t="s">
        <v>92</v>
      </c>
      <c r="W12" s="59" t="s">
        <v>93</v>
      </c>
      <c r="X12" s="59" t="s">
        <v>94</v>
      </c>
      <c r="Y12" s="59" t="s">
        <v>95</v>
      </c>
      <c r="Z12" s="59" t="s">
        <v>96</v>
      </c>
      <c r="AA12" s="56" t="s">
        <v>97</v>
      </c>
      <c r="AB12" s="56" t="s">
        <v>98</v>
      </c>
    </row>
    <row r="13" spans="1:28" ht="15">
      <c r="A13" s="61" t="s">
        <v>99</v>
      </c>
      <c r="B13" s="61" t="s">
        <v>100</v>
      </c>
      <c r="C13" s="62">
        <v>2015</v>
      </c>
      <c r="D13" s="62" t="s">
        <v>16</v>
      </c>
      <c r="E13" s="62" t="s">
        <v>101</v>
      </c>
      <c r="F13" s="62">
        <v>30</v>
      </c>
      <c r="G13" s="62" t="s">
        <v>102</v>
      </c>
      <c r="H13" s="62" t="s">
        <v>103</v>
      </c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6" si="0">IF(K13=0,"BLANK",(J13-K13))</f>
        <v>1200</v>
      </c>
      <c r="P13" s="68">
        <v>1500</v>
      </c>
      <c r="Q13" s="69">
        <v>500</v>
      </c>
      <c r="R13" s="70">
        <f t="shared" ref="R13:R76" si="1">IF(K13=0,"BLANK",SUM(P13:Q13))</f>
        <v>2000</v>
      </c>
      <c r="S13" s="71">
        <f>(R13/(K13-P13))*(360/F13)</f>
        <v>1.9512195121951219</v>
      </c>
      <c r="T13" s="72" t="s">
        <v>104</v>
      </c>
      <c r="U13" s="72" t="s">
        <v>105</v>
      </c>
      <c r="V13" s="72" t="s">
        <v>5</v>
      </c>
      <c r="W13" s="73">
        <f t="shared" ref="W13:W44" si="2">IF(AND(F13&gt;0,F13&lt;=30),30,IF(AND(F13&gt;=31,F13&lt;=45),45,IF(AND(F13&gt;=46,F13&lt;=60),60,IF(AND(F13&gt;=61,F13&lt;=90),90,IF(F13&gt;=91,91,0)))))</f>
        <v>30</v>
      </c>
      <c r="X13" s="74" t="s">
        <v>102</v>
      </c>
      <c r="Y13" s="74" t="s">
        <v>103</v>
      </c>
      <c r="Z13" s="74" t="s">
        <v>106</v>
      </c>
      <c r="AA13" s="62" t="s">
        <v>107</v>
      </c>
      <c r="AB13" s="68">
        <v>2000</v>
      </c>
    </row>
    <row r="14" spans="1:28" ht="15">
      <c r="A14" s="15">
        <v>1</v>
      </c>
      <c r="B14" s="15" t="s">
        <v>168</v>
      </c>
      <c r="C14" s="16">
        <v>2018</v>
      </c>
      <c r="D14" s="75" t="s">
        <v>169</v>
      </c>
      <c r="E14" s="16" t="s">
        <v>170</v>
      </c>
      <c r="F14" s="17">
        <v>17</v>
      </c>
      <c r="G14" s="75" t="s">
        <v>102</v>
      </c>
      <c r="H14" s="75" t="s">
        <v>103</v>
      </c>
      <c r="I14" s="76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No</v>
      </c>
      <c r="J14" s="37">
        <v>28988</v>
      </c>
      <c r="K14" s="37">
        <v>28988</v>
      </c>
      <c r="L14" s="77">
        <v>0.97</v>
      </c>
      <c r="M14" s="78">
        <f t="shared" ref="M14:M15" si="3">J14/L14</f>
        <v>29884.536082474227</v>
      </c>
      <c r="N14" s="79">
        <f t="shared" ref="N14:N15" si="4">K14/M14</f>
        <v>0.97</v>
      </c>
      <c r="O14" s="80">
        <f t="shared" ref="O14:O15" si="5">IF(K14=0,"BLANK",(J14-K14))</f>
        <v>0</v>
      </c>
      <c r="P14" s="19">
        <v>4721.78</v>
      </c>
      <c r="Q14" s="19">
        <v>2608.66</v>
      </c>
      <c r="R14" s="81">
        <f t="shared" ref="R14:R15" si="6">IF(K14=0,"BLANK",SUM(P14:Q14))</f>
        <v>7330.44</v>
      </c>
      <c r="S14" s="82">
        <f t="shared" ref="S14:S15" si="7">(R14/(K14-P14))*(360/F14)</f>
        <v>6.3970757315652591</v>
      </c>
      <c r="T14" s="83" t="s">
        <v>164</v>
      </c>
      <c r="U14" s="83" t="s">
        <v>157</v>
      </c>
      <c r="V14" s="83" t="s">
        <v>159</v>
      </c>
      <c r="W14" s="113">
        <f t="shared" si="2"/>
        <v>30</v>
      </c>
      <c r="X14" s="74" t="s">
        <v>109</v>
      </c>
      <c r="Y14" s="74" t="s">
        <v>107</v>
      </c>
      <c r="Z14" s="74" t="s">
        <v>110</v>
      </c>
      <c r="AA14" s="75" t="s">
        <v>107</v>
      </c>
      <c r="AB14" s="44">
        <v>0</v>
      </c>
    </row>
    <row r="15" spans="1:28" ht="15">
      <c r="A15" s="15">
        <f t="shared" ref="A15:A78" si="8">A14+1</f>
        <v>2</v>
      </c>
      <c r="B15" s="15" t="s">
        <v>171</v>
      </c>
      <c r="C15" s="16">
        <v>2019</v>
      </c>
      <c r="D15" s="75" t="s">
        <v>155</v>
      </c>
      <c r="E15" s="16" t="s">
        <v>172</v>
      </c>
      <c r="F15" s="17">
        <v>41</v>
      </c>
      <c r="G15" s="75" t="s">
        <v>102</v>
      </c>
      <c r="H15" s="75" t="s">
        <v>107</v>
      </c>
      <c r="I15" s="76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Yes</v>
      </c>
      <c r="J15" s="37">
        <v>42988</v>
      </c>
      <c r="K15" s="37">
        <v>42465.91</v>
      </c>
      <c r="L15" s="35">
        <v>0.99</v>
      </c>
      <c r="M15" s="78">
        <f t="shared" si="3"/>
        <v>43422.222222222219</v>
      </c>
      <c r="N15" s="79">
        <f t="shared" si="4"/>
        <v>0.97797643295803494</v>
      </c>
      <c r="O15" s="80">
        <f t="shared" si="5"/>
        <v>522.08999999999651</v>
      </c>
      <c r="P15" s="19">
        <v>3606</v>
      </c>
      <c r="Q15" s="19">
        <v>458</v>
      </c>
      <c r="R15" s="81">
        <f t="shared" si="6"/>
        <v>4064</v>
      </c>
      <c r="S15" s="82">
        <f t="shared" si="7"/>
        <v>0.91827033153253279</v>
      </c>
      <c r="T15" s="83" t="s">
        <v>173</v>
      </c>
      <c r="U15" s="83" t="s">
        <v>157</v>
      </c>
      <c r="V15" s="83" t="s">
        <v>159</v>
      </c>
      <c r="W15" s="113">
        <f t="shared" si="2"/>
        <v>45</v>
      </c>
      <c r="X15" s="74" t="s">
        <v>111</v>
      </c>
      <c r="Z15" s="74" t="s">
        <v>112</v>
      </c>
      <c r="AA15" s="75" t="s">
        <v>103</v>
      </c>
      <c r="AB15" s="44">
        <v>0</v>
      </c>
    </row>
    <row r="16" spans="1:28" ht="15">
      <c r="A16" s="15">
        <f t="shared" si="8"/>
        <v>3</v>
      </c>
      <c r="B16" s="15" t="s">
        <v>175</v>
      </c>
      <c r="C16" s="16">
        <v>2018</v>
      </c>
      <c r="D16" s="75" t="s">
        <v>156</v>
      </c>
      <c r="E16" s="16" t="s">
        <v>176</v>
      </c>
      <c r="F16" s="17">
        <v>68</v>
      </c>
      <c r="G16" s="75" t="s">
        <v>109</v>
      </c>
      <c r="H16" s="75" t="s">
        <v>107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Yes</v>
      </c>
      <c r="J16" s="37">
        <v>24988</v>
      </c>
      <c r="K16" s="37">
        <v>23235</v>
      </c>
      <c r="L16" s="35">
        <v>0.93</v>
      </c>
      <c r="M16" s="78">
        <f t="shared" ref="M16:M78" si="9">J16/L16</f>
        <v>26868.817204301075</v>
      </c>
      <c r="N16" s="79">
        <f t="shared" ref="N16:N78" si="10">K16/M16</f>
        <v>0.86475708340003199</v>
      </c>
      <c r="O16" s="80">
        <f t="shared" si="0"/>
        <v>1753</v>
      </c>
      <c r="P16" s="19">
        <v>2573</v>
      </c>
      <c r="Q16" s="19">
        <v>0</v>
      </c>
      <c r="R16" s="81">
        <f t="shared" si="1"/>
        <v>2573</v>
      </c>
      <c r="S16" s="82">
        <f t="shared" ref="S16:S78" si="11">(R16/(K16-P16))*(360/F16)</f>
        <v>0.65926651369094724</v>
      </c>
      <c r="T16" s="83" t="s">
        <v>167</v>
      </c>
      <c r="U16" s="83" t="s">
        <v>158</v>
      </c>
      <c r="V16" s="83" t="s">
        <v>159</v>
      </c>
      <c r="W16" s="113">
        <f t="shared" si="2"/>
        <v>90</v>
      </c>
      <c r="X16" s="74" t="s">
        <v>108</v>
      </c>
      <c r="Z16" s="74" t="s">
        <v>113</v>
      </c>
      <c r="AA16" s="75" t="s">
        <v>103</v>
      </c>
      <c r="AB16" s="44">
        <v>0</v>
      </c>
    </row>
    <row r="17" spans="1:28" ht="15">
      <c r="A17" s="15">
        <f t="shared" si="8"/>
        <v>4</v>
      </c>
      <c r="B17" s="15" t="s">
        <v>177</v>
      </c>
      <c r="C17" s="16">
        <v>2015</v>
      </c>
      <c r="D17" s="75" t="s">
        <v>156</v>
      </c>
      <c r="E17" s="16" t="s">
        <v>178</v>
      </c>
      <c r="F17" s="17">
        <v>6</v>
      </c>
      <c r="G17" s="75" t="s">
        <v>102</v>
      </c>
      <c r="H17" s="75" t="s">
        <v>107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Yes</v>
      </c>
      <c r="J17" s="37">
        <v>22988</v>
      </c>
      <c r="K17" s="37">
        <v>22988</v>
      </c>
      <c r="L17" s="35">
        <v>1</v>
      </c>
      <c r="M17" s="78">
        <f t="shared" si="9"/>
        <v>22988</v>
      </c>
      <c r="N17" s="79">
        <f t="shared" si="10"/>
        <v>1</v>
      </c>
      <c r="O17" s="80">
        <f t="shared" si="0"/>
        <v>0</v>
      </c>
      <c r="P17" s="19">
        <v>7056</v>
      </c>
      <c r="Q17" s="19">
        <v>1905</v>
      </c>
      <c r="R17" s="81">
        <f t="shared" si="1"/>
        <v>8961</v>
      </c>
      <c r="S17" s="82">
        <f t="shared" si="11"/>
        <v>33.747175495857391</v>
      </c>
      <c r="T17" s="83" t="s">
        <v>164</v>
      </c>
      <c r="U17" s="83" t="s">
        <v>158</v>
      </c>
      <c r="V17" s="83" t="s">
        <v>153</v>
      </c>
      <c r="W17" s="113">
        <f t="shared" si="2"/>
        <v>30</v>
      </c>
      <c r="X17" s="74" t="s">
        <v>114</v>
      </c>
      <c r="Z17" s="74" t="s">
        <v>115</v>
      </c>
      <c r="AA17" s="75" t="s">
        <v>103</v>
      </c>
      <c r="AB17" s="44">
        <v>0</v>
      </c>
    </row>
    <row r="18" spans="1:28" ht="15">
      <c r="A18" s="15">
        <f t="shared" si="8"/>
        <v>5</v>
      </c>
      <c r="B18" s="15" t="s">
        <v>179</v>
      </c>
      <c r="C18" s="16">
        <v>2013</v>
      </c>
      <c r="D18" s="75" t="s">
        <v>12</v>
      </c>
      <c r="E18" s="16">
        <v>528</v>
      </c>
      <c r="F18" s="17">
        <v>16</v>
      </c>
      <c r="G18" s="75" t="s">
        <v>102</v>
      </c>
      <c r="H18" s="75" t="s">
        <v>103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No</v>
      </c>
      <c r="J18" s="37">
        <v>15981</v>
      </c>
      <c r="K18" s="37">
        <v>15250</v>
      </c>
      <c r="L18" s="35">
        <v>0.95</v>
      </c>
      <c r="M18" s="78">
        <f t="shared" si="9"/>
        <v>16822.105263157897</v>
      </c>
      <c r="N18" s="79">
        <f t="shared" si="10"/>
        <v>0.90654527251110684</v>
      </c>
      <c r="O18" s="80">
        <f t="shared" si="0"/>
        <v>731</v>
      </c>
      <c r="P18" s="19">
        <v>3775</v>
      </c>
      <c r="Q18" s="19">
        <v>0</v>
      </c>
      <c r="R18" s="81">
        <f t="shared" si="1"/>
        <v>3775</v>
      </c>
      <c r="S18" s="82">
        <f t="shared" si="11"/>
        <v>7.401960784313725</v>
      </c>
      <c r="T18" s="83" t="s">
        <v>165</v>
      </c>
      <c r="U18" s="83" t="s">
        <v>158</v>
      </c>
      <c r="V18" s="83" t="s">
        <v>159</v>
      </c>
      <c r="W18" s="113">
        <f t="shared" si="2"/>
        <v>30</v>
      </c>
      <c r="X18" s="74" t="s">
        <v>116</v>
      </c>
      <c r="AA18" s="75" t="s">
        <v>103</v>
      </c>
      <c r="AB18" s="44">
        <v>0</v>
      </c>
    </row>
    <row r="19" spans="1:28" ht="15">
      <c r="A19" s="15">
        <f t="shared" si="8"/>
        <v>6</v>
      </c>
      <c r="B19" s="15" t="s">
        <v>180</v>
      </c>
      <c r="C19" s="16">
        <v>2018</v>
      </c>
      <c r="D19" s="75" t="s">
        <v>181</v>
      </c>
      <c r="E19" s="16" t="s">
        <v>182</v>
      </c>
      <c r="F19" s="17">
        <v>368</v>
      </c>
      <c r="G19" s="75" t="s">
        <v>108</v>
      </c>
      <c r="H19" s="75" t="s">
        <v>103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No</v>
      </c>
      <c r="J19" s="37">
        <v>28988</v>
      </c>
      <c r="K19" s="37">
        <v>28988</v>
      </c>
      <c r="L19" s="35">
        <v>0.99</v>
      </c>
      <c r="M19" s="78">
        <f t="shared" si="9"/>
        <v>29280.808080808081</v>
      </c>
      <c r="N19" s="79">
        <f t="shared" si="10"/>
        <v>0.99</v>
      </c>
      <c r="O19" s="80">
        <f t="shared" si="0"/>
        <v>0</v>
      </c>
      <c r="P19" s="19">
        <v>-1299</v>
      </c>
      <c r="Q19" s="19">
        <v>2845</v>
      </c>
      <c r="R19" s="81">
        <f t="shared" si="1"/>
        <v>1546</v>
      </c>
      <c r="S19" s="82">
        <f t="shared" si="11"/>
        <v>4.9935328832430619E-2</v>
      </c>
      <c r="T19" s="83" t="s">
        <v>174</v>
      </c>
      <c r="U19" s="83" t="s">
        <v>152</v>
      </c>
      <c r="V19" s="83" t="s">
        <v>153</v>
      </c>
      <c r="W19" s="113">
        <f t="shared" si="2"/>
        <v>91</v>
      </c>
      <c r="X19" s="74" t="s">
        <v>117</v>
      </c>
      <c r="AA19" s="75" t="s">
        <v>107</v>
      </c>
      <c r="AB19" s="44">
        <v>-1000</v>
      </c>
    </row>
    <row r="20" spans="1:28" ht="15">
      <c r="A20" s="15">
        <f t="shared" si="8"/>
        <v>7</v>
      </c>
      <c r="B20" s="15" t="s">
        <v>183</v>
      </c>
      <c r="C20" s="16">
        <v>2019</v>
      </c>
      <c r="D20" s="75" t="s">
        <v>169</v>
      </c>
      <c r="E20" s="16" t="s">
        <v>184</v>
      </c>
      <c r="F20" s="17">
        <v>46</v>
      </c>
      <c r="G20" s="75" t="s">
        <v>109</v>
      </c>
      <c r="H20" s="75" t="s">
        <v>103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No</v>
      </c>
      <c r="J20" s="37">
        <v>19495</v>
      </c>
      <c r="K20" s="37">
        <v>19495</v>
      </c>
      <c r="L20" s="35">
        <v>1</v>
      </c>
      <c r="M20" s="78">
        <f t="shared" si="9"/>
        <v>19495</v>
      </c>
      <c r="N20" s="79">
        <f t="shared" si="10"/>
        <v>1</v>
      </c>
      <c r="O20" s="80">
        <f t="shared" si="0"/>
        <v>0</v>
      </c>
      <c r="P20" s="19">
        <v>3318</v>
      </c>
      <c r="Q20" s="19">
        <v>2144</v>
      </c>
      <c r="R20" s="81">
        <f t="shared" si="1"/>
        <v>5462</v>
      </c>
      <c r="S20" s="82">
        <f t="shared" si="11"/>
        <v>2.6423988969847154</v>
      </c>
      <c r="T20" s="83" t="s">
        <v>173</v>
      </c>
      <c r="U20" s="83" t="s">
        <v>157</v>
      </c>
      <c r="V20" s="83" t="s">
        <v>159</v>
      </c>
      <c r="W20" s="113">
        <f t="shared" si="2"/>
        <v>60</v>
      </c>
      <c r="X20" s="74" t="s">
        <v>118</v>
      </c>
      <c r="AA20" s="75" t="s">
        <v>103</v>
      </c>
      <c r="AB20" s="44">
        <v>0</v>
      </c>
    </row>
    <row r="21" spans="1:28" ht="15">
      <c r="A21" s="15">
        <f t="shared" si="8"/>
        <v>8</v>
      </c>
      <c r="B21" s="15" t="s">
        <v>185</v>
      </c>
      <c r="C21" s="16">
        <v>2016</v>
      </c>
      <c r="D21" s="75" t="s">
        <v>169</v>
      </c>
      <c r="E21" s="16" t="s">
        <v>186</v>
      </c>
      <c r="F21" s="17">
        <v>45</v>
      </c>
      <c r="G21" s="75" t="s">
        <v>108</v>
      </c>
      <c r="H21" s="75" t="s">
        <v>103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No</v>
      </c>
      <c r="J21" s="37">
        <v>35988</v>
      </c>
      <c r="K21" s="37">
        <v>34000</v>
      </c>
      <c r="L21" s="35">
        <v>0.94</v>
      </c>
      <c r="M21" s="78">
        <f t="shared" si="9"/>
        <v>38285.106382978724</v>
      </c>
      <c r="N21" s="79">
        <f t="shared" si="10"/>
        <v>0.88807380237857059</v>
      </c>
      <c r="O21" s="80">
        <f t="shared" si="0"/>
        <v>1988</v>
      </c>
      <c r="P21" s="19">
        <v>2319</v>
      </c>
      <c r="Q21" s="19">
        <v>1340</v>
      </c>
      <c r="R21" s="81">
        <f t="shared" si="1"/>
        <v>3659</v>
      </c>
      <c r="S21" s="82">
        <f t="shared" si="11"/>
        <v>0.92396073356270325</v>
      </c>
      <c r="T21" s="83" t="s">
        <v>165</v>
      </c>
      <c r="U21" s="83" t="s">
        <v>158</v>
      </c>
      <c r="V21" s="83" t="s">
        <v>159</v>
      </c>
      <c r="W21" s="113">
        <f t="shared" si="2"/>
        <v>45</v>
      </c>
      <c r="X21" s="74" t="s">
        <v>119</v>
      </c>
      <c r="AA21" s="75" t="s">
        <v>103</v>
      </c>
      <c r="AB21" s="44">
        <v>0</v>
      </c>
    </row>
    <row r="22" spans="1:28" ht="15">
      <c r="A22" s="15">
        <f t="shared" si="8"/>
        <v>9</v>
      </c>
      <c r="B22" s="15" t="s">
        <v>187</v>
      </c>
      <c r="C22" s="16">
        <v>2014</v>
      </c>
      <c r="D22" s="75" t="s">
        <v>16</v>
      </c>
      <c r="E22" s="16" t="s">
        <v>188</v>
      </c>
      <c r="F22" s="17">
        <v>19</v>
      </c>
      <c r="G22" s="75" t="s">
        <v>102</v>
      </c>
      <c r="H22" s="75" t="s">
        <v>103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No</v>
      </c>
      <c r="J22" s="37">
        <v>25988</v>
      </c>
      <c r="K22" s="37">
        <v>25988</v>
      </c>
      <c r="L22" s="35">
        <v>1</v>
      </c>
      <c r="M22" s="78">
        <f t="shared" si="9"/>
        <v>25988</v>
      </c>
      <c r="N22" s="79">
        <f t="shared" si="10"/>
        <v>1</v>
      </c>
      <c r="O22" s="80">
        <f t="shared" si="0"/>
        <v>0</v>
      </c>
      <c r="P22" s="19">
        <v>4011</v>
      </c>
      <c r="Q22" s="19">
        <v>458</v>
      </c>
      <c r="R22" s="81">
        <f t="shared" si="1"/>
        <v>4469</v>
      </c>
      <c r="S22" s="82">
        <f t="shared" si="11"/>
        <v>3.8529275821852025</v>
      </c>
      <c r="T22" s="83" t="s">
        <v>164</v>
      </c>
      <c r="U22" s="83" t="s">
        <v>152</v>
      </c>
      <c r="V22" s="83" t="s">
        <v>159</v>
      </c>
      <c r="W22" s="113">
        <f t="shared" si="2"/>
        <v>30</v>
      </c>
      <c r="AA22" s="75" t="s">
        <v>189</v>
      </c>
      <c r="AB22" s="44">
        <v>0</v>
      </c>
    </row>
    <row r="23" spans="1:28" ht="15">
      <c r="A23" s="15">
        <f t="shared" si="8"/>
        <v>10</v>
      </c>
      <c r="B23" s="15" t="s">
        <v>190</v>
      </c>
      <c r="C23" s="16">
        <v>2018</v>
      </c>
      <c r="D23" s="75" t="s">
        <v>169</v>
      </c>
      <c r="E23" s="16" t="s">
        <v>191</v>
      </c>
      <c r="F23" s="17">
        <v>26</v>
      </c>
      <c r="G23" s="75" t="s">
        <v>102</v>
      </c>
      <c r="H23" s="75" t="s">
        <v>103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No</v>
      </c>
      <c r="J23" s="37">
        <v>62495</v>
      </c>
      <c r="K23" s="37">
        <v>62000</v>
      </c>
      <c r="L23" s="35">
        <v>0.99</v>
      </c>
      <c r="M23" s="78">
        <f t="shared" si="9"/>
        <v>63126.262626262629</v>
      </c>
      <c r="N23" s="79">
        <f t="shared" si="10"/>
        <v>0.98215857268581486</v>
      </c>
      <c r="O23" s="80">
        <f t="shared" si="0"/>
        <v>495</v>
      </c>
      <c r="P23" s="19">
        <v>3887</v>
      </c>
      <c r="Q23" s="19">
        <v>0</v>
      </c>
      <c r="R23" s="81">
        <f t="shared" si="1"/>
        <v>3887</v>
      </c>
      <c r="S23" s="82">
        <f t="shared" si="11"/>
        <v>0.92612668421867739</v>
      </c>
      <c r="T23" s="83" t="s">
        <v>164</v>
      </c>
      <c r="U23" s="83" t="s">
        <v>152</v>
      </c>
      <c r="V23" s="83" t="s">
        <v>153</v>
      </c>
      <c r="W23" s="113">
        <f t="shared" si="2"/>
        <v>30</v>
      </c>
      <c r="AA23" s="75" t="s">
        <v>103</v>
      </c>
      <c r="AB23" s="44">
        <v>0</v>
      </c>
    </row>
    <row r="24" spans="1:28" ht="15">
      <c r="A24" s="15">
        <f t="shared" si="8"/>
        <v>11</v>
      </c>
      <c r="B24" s="15" t="s">
        <v>192</v>
      </c>
      <c r="C24" s="16">
        <v>2020</v>
      </c>
      <c r="D24" s="75" t="s">
        <v>154</v>
      </c>
      <c r="E24" s="16" t="s">
        <v>193</v>
      </c>
      <c r="F24" s="17">
        <v>58</v>
      </c>
      <c r="G24" s="75" t="s">
        <v>108</v>
      </c>
      <c r="H24" s="75" t="s">
        <v>107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Yes</v>
      </c>
      <c r="J24" s="37">
        <v>32495</v>
      </c>
      <c r="K24" s="37">
        <v>32000</v>
      </c>
      <c r="L24" s="35">
        <v>0.98</v>
      </c>
      <c r="M24" s="78">
        <f t="shared" si="9"/>
        <v>33158.163265306124</v>
      </c>
      <c r="N24" s="79">
        <f t="shared" si="10"/>
        <v>0.96507154946914908</v>
      </c>
      <c r="O24" s="80">
        <f t="shared" si="0"/>
        <v>495</v>
      </c>
      <c r="P24" s="19">
        <v>2309</v>
      </c>
      <c r="Q24" s="19">
        <v>458</v>
      </c>
      <c r="R24" s="81">
        <f t="shared" si="1"/>
        <v>2767</v>
      </c>
      <c r="S24" s="82">
        <f t="shared" si="11"/>
        <v>0.57844069780811325</v>
      </c>
      <c r="T24" s="83" t="s">
        <v>161</v>
      </c>
      <c r="U24" s="83" t="s">
        <v>152</v>
      </c>
      <c r="V24" s="83" t="s">
        <v>159</v>
      </c>
      <c r="W24" s="113">
        <f t="shared" si="2"/>
        <v>60</v>
      </c>
      <c r="AA24" s="75" t="s">
        <v>107</v>
      </c>
      <c r="AB24" s="44">
        <v>1000</v>
      </c>
    </row>
    <row r="25" spans="1:28" ht="15">
      <c r="A25" s="15">
        <f t="shared" si="8"/>
        <v>12</v>
      </c>
      <c r="B25" s="15" t="s">
        <v>194</v>
      </c>
      <c r="C25" s="16">
        <v>2020</v>
      </c>
      <c r="D25" s="75" t="s">
        <v>16</v>
      </c>
      <c r="E25" s="16" t="s">
        <v>188</v>
      </c>
      <c r="F25" s="17">
        <v>50</v>
      </c>
      <c r="G25" s="75" t="s">
        <v>108</v>
      </c>
      <c r="H25" s="75" t="s">
        <v>107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No</v>
      </c>
      <c r="J25" s="37">
        <v>64988</v>
      </c>
      <c r="K25" s="37">
        <v>64690</v>
      </c>
      <c r="L25" s="35">
        <v>0.99</v>
      </c>
      <c r="M25" s="78">
        <f t="shared" si="9"/>
        <v>65644.444444444438</v>
      </c>
      <c r="N25" s="79">
        <f t="shared" si="10"/>
        <v>0.98546039268788088</v>
      </c>
      <c r="O25" s="80">
        <f t="shared" si="0"/>
        <v>298</v>
      </c>
      <c r="P25" s="19">
        <v>3808</v>
      </c>
      <c r="Q25" s="19">
        <v>5847</v>
      </c>
      <c r="R25" s="81">
        <f t="shared" si="1"/>
        <v>9655</v>
      </c>
      <c r="S25" s="82">
        <f t="shared" si="11"/>
        <v>1.1418153148713905</v>
      </c>
      <c r="T25" s="83" t="s">
        <v>161</v>
      </c>
      <c r="U25" s="83" t="s">
        <v>152</v>
      </c>
      <c r="V25" s="83" t="s">
        <v>159</v>
      </c>
      <c r="W25" s="113">
        <f t="shared" si="2"/>
        <v>60</v>
      </c>
      <c r="AA25" s="75" t="s">
        <v>103</v>
      </c>
      <c r="AB25" s="44">
        <v>0</v>
      </c>
    </row>
    <row r="26" spans="1:28" ht="15">
      <c r="A26" s="15">
        <f t="shared" si="8"/>
        <v>13</v>
      </c>
      <c r="B26" s="15" t="s">
        <v>195</v>
      </c>
      <c r="C26" s="16">
        <v>2019</v>
      </c>
      <c r="D26" s="75" t="s">
        <v>155</v>
      </c>
      <c r="E26" s="16" t="s">
        <v>196</v>
      </c>
      <c r="F26" s="17">
        <v>51</v>
      </c>
      <c r="G26" s="75" t="s">
        <v>102</v>
      </c>
      <c r="H26" s="75" t="s">
        <v>107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37">
        <v>64988</v>
      </c>
      <c r="K26" s="37">
        <v>64988</v>
      </c>
      <c r="L26" s="35">
        <v>1</v>
      </c>
      <c r="M26" s="78">
        <f t="shared" si="9"/>
        <v>64988</v>
      </c>
      <c r="N26" s="79">
        <f t="shared" si="10"/>
        <v>1</v>
      </c>
      <c r="O26" s="80">
        <f t="shared" si="0"/>
        <v>0</v>
      </c>
      <c r="P26" s="19">
        <v>5768</v>
      </c>
      <c r="Q26" s="19">
        <v>2354</v>
      </c>
      <c r="R26" s="81">
        <f t="shared" si="1"/>
        <v>8122</v>
      </c>
      <c r="S26" s="82">
        <f t="shared" si="11"/>
        <v>0.96811490553668278</v>
      </c>
      <c r="T26" s="83" t="s">
        <v>173</v>
      </c>
      <c r="U26" s="83" t="s">
        <v>152</v>
      </c>
      <c r="V26" s="83" t="s">
        <v>159</v>
      </c>
      <c r="W26" s="113">
        <f t="shared" si="2"/>
        <v>60</v>
      </c>
      <c r="AA26" s="75" t="s">
        <v>107</v>
      </c>
      <c r="AB26" s="44">
        <v>250</v>
      </c>
    </row>
    <row r="27" spans="1:28" ht="15">
      <c r="A27" s="15">
        <f t="shared" si="8"/>
        <v>14</v>
      </c>
      <c r="B27" s="15" t="s">
        <v>197</v>
      </c>
      <c r="C27" s="16">
        <v>2017</v>
      </c>
      <c r="D27" s="75" t="s">
        <v>198</v>
      </c>
      <c r="E27" s="16" t="s">
        <v>199</v>
      </c>
      <c r="F27" s="17">
        <v>35</v>
      </c>
      <c r="G27" s="75" t="s">
        <v>102</v>
      </c>
      <c r="H27" s="75" t="s">
        <v>103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No</v>
      </c>
      <c r="J27" s="37">
        <v>15995</v>
      </c>
      <c r="K27" s="37">
        <v>15995</v>
      </c>
      <c r="L27" s="35">
        <v>0.97</v>
      </c>
      <c r="M27" s="78">
        <f t="shared" si="9"/>
        <v>16489.690721649484</v>
      </c>
      <c r="N27" s="79">
        <f t="shared" si="10"/>
        <v>0.97000000000000008</v>
      </c>
      <c r="O27" s="80">
        <f t="shared" si="0"/>
        <v>0</v>
      </c>
      <c r="P27" s="19">
        <v>3802</v>
      </c>
      <c r="Q27" s="19">
        <v>458</v>
      </c>
      <c r="R27" s="81">
        <f t="shared" si="1"/>
        <v>4260</v>
      </c>
      <c r="S27" s="82">
        <f t="shared" si="11"/>
        <v>3.5936310060807726</v>
      </c>
      <c r="T27" s="83" t="s">
        <v>160</v>
      </c>
      <c r="U27" s="83" t="s">
        <v>157</v>
      </c>
      <c r="V27" s="83" t="s">
        <v>159</v>
      </c>
      <c r="W27" s="113">
        <f t="shared" si="2"/>
        <v>45</v>
      </c>
      <c r="AA27" s="75" t="s">
        <v>103</v>
      </c>
      <c r="AB27" s="44">
        <v>0</v>
      </c>
    </row>
    <row r="28" spans="1:28" ht="15">
      <c r="A28" s="15">
        <f t="shared" si="8"/>
        <v>15</v>
      </c>
      <c r="B28" s="15" t="s">
        <v>200</v>
      </c>
      <c r="C28" s="16">
        <v>2022</v>
      </c>
      <c r="D28" s="75" t="s">
        <v>156</v>
      </c>
      <c r="E28" s="16" t="s">
        <v>201</v>
      </c>
      <c r="F28" s="17">
        <v>22</v>
      </c>
      <c r="G28" s="75" t="s">
        <v>114</v>
      </c>
      <c r="H28" s="75" t="s">
        <v>107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37">
        <v>29988</v>
      </c>
      <c r="K28" s="37">
        <v>29988</v>
      </c>
      <c r="L28" s="35">
        <v>1</v>
      </c>
      <c r="M28" s="78">
        <f t="shared" si="9"/>
        <v>29988</v>
      </c>
      <c r="N28" s="79">
        <f t="shared" si="10"/>
        <v>1</v>
      </c>
      <c r="O28" s="80">
        <f t="shared" si="0"/>
        <v>0</v>
      </c>
      <c r="P28" s="19">
        <v>5053</v>
      </c>
      <c r="Q28" s="19">
        <v>1747</v>
      </c>
      <c r="R28" s="81">
        <f t="shared" si="1"/>
        <v>6800</v>
      </c>
      <c r="S28" s="82">
        <f t="shared" si="11"/>
        <v>4.4625116211240128</v>
      </c>
      <c r="T28" s="83" t="s">
        <v>167</v>
      </c>
      <c r="U28" s="83" t="s">
        <v>158</v>
      </c>
      <c r="V28" s="83" t="s">
        <v>159</v>
      </c>
      <c r="W28" s="113">
        <f t="shared" si="2"/>
        <v>30</v>
      </c>
      <c r="AA28" s="75" t="s">
        <v>107</v>
      </c>
      <c r="AB28" s="44">
        <v>500</v>
      </c>
    </row>
    <row r="29" spans="1:28" ht="15">
      <c r="A29" s="15">
        <f t="shared" si="8"/>
        <v>16</v>
      </c>
      <c r="B29" s="15" t="s">
        <v>202</v>
      </c>
      <c r="C29" s="16">
        <v>2016</v>
      </c>
      <c r="D29" s="75" t="s">
        <v>203</v>
      </c>
      <c r="E29" s="16" t="s">
        <v>204</v>
      </c>
      <c r="F29" s="17">
        <v>114</v>
      </c>
      <c r="G29" s="75" t="s">
        <v>102</v>
      </c>
      <c r="H29" s="75" t="s">
        <v>103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No</v>
      </c>
      <c r="J29" s="37">
        <v>21495</v>
      </c>
      <c r="K29" s="37">
        <v>21095</v>
      </c>
      <c r="L29" s="35">
        <v>0.98</v>
      </c>
      <c r="M29" s="78">
        <f t="shared" si="9"/>
        <v>21933.673469387755</v>
      </c>
      <c r="N29" s="79">
        <f t="shared" si="10"/>
        <v>0.96176320074435917</v>
      </c>
      <c r="O29" s="80">
        <f t="shared" si="0"/>
        <v>400</v>
      </c>
      <c r="P29" s="19">
        <v>1306</v>
      </c>
      <c r="Q29" s="19">
        <v>1091</v>
      </c>
      <c r="R29" s="81">
        <f t="shared" si="1"/>
        <v>2397</v>
      </c>
      <c r="S29" s="82">
        <f t="shared" si="11"/>
        <v>0.38250915580426126</v>
      </c>
      <c r="T29" s="83" t="s">
        <v>173</v>
      </c>
      <c r="U29" s="83" t="s">
        <v>152</v>
      </c>
      <c r="V29" s="83" t="s">
        <v>159</v>
      </c>
      <c r="W29" s="113">
        <f t="shared" si="2"/>
        <v>91</v>
      </c>
      <c r="AA29" s="75" t="s">
        <v>107</v>
      </c>
      <c r="AB29" s="44">
        <v>0</v>
      </c>
    </row>
    <row r="30" spans="1:28" ht="15">
      <c r="A30" s="15">
        <f t="shared" si="8"/>
        <v>17</v>
      </c>
      <c r="B30" s="15" t="s">
        <v>205</v>
      </c>
      <c r="C30" s="16">
        <v>2019</v>
      </c>
      <c r="D30" s="75" t="s">
        <v>155</v>
      </c>
      <c r="E30" s="16" t="s">
        <v>196</v>
      </c>
      <c r="F30" s="17">
        <v>116</v>
      </c>
      <c r="G30" s="75" t="s">
        <v>102</v>
      </c>
      <c r="H30" s="75" t="s">
        <v>107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37">
        <v>69495</v>
      </c>
      <c r="K30" s="37">
        <v>67218</v>
      </c>
      <c r="L30" s="35">
        <v>0.97</v>
      </c>
      <c r="M30" s="78">
        <f t="shared" si="9"/>
        <v>71644.32989690722</v>
      </c>
      <c r="N30" s="79">
        <f t="shared" si="10"/>
        <v>0.93821800129505717</v>
      </c>
      <c r="O30" s="80">
        <f t="shared" si="0"/>
        <v>2277</v>
      </c>
      <c r="P30" s="19">
        <v>1408</v>
      </c>
      <c r="Q30" s="19">
        <v>1125</v>
      </c>
      <c r="R30" s="81">
        <f t="shared" si="1"/>
        <v>2533</v>
      </c>
      <c r="S30" s="82">
        <f t="shared" si="11"/>
        <v>0.11945045559578515</v>
      </c>
      <c r="T30" s="83" t="s">
        <v>160</v>
      </c>
      <c r="U30" s="83" t="s">
        <v>152</v>
      </c>
      <c r="V30" s="83" t="s">
        <v>153</v>
      </c>
      <c r="W30" s="113">
        <f t="shared" si="2"/>
        <v>91</v>
      </c>
      <c r="AA30" s="51" t="s">
        <v>208</v>
      </c>
      <c r="AB30" s="44">
        <v>0</v>
      </c>
    </row>
    <row r="31" spans="1:28" ht="15">
      <c r="A31" s="15">
        <f t="shared" si="8"/>
        <v>18</v>
      </c>
      <c r="B31" s="15" t="s">
        <v>206</v>
      </c>
      <c r="C31" s="16">
        <v>2020</v>
      </c>
      <c r="D31" s="75" t="s">
        <v>22</v>
      </c>
      <c r="E31" s="16" t="s">
        <v>207</v>
      </c>
      <c r="F31" s="17">
        <v>269</v>
      </c>
      <c r="G31" s="75" t="s">
        <v>111</v>
      </c>
      <c r="H31" s="75" t="s">
        <v>103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Yes</v>
      </c>
      <c r="J31" s="37">
        <v>64988</v>
      </c>
      <c r="K31" s="37">
        <v>61995</v>
      </c>
      <c r="L31" s="35">
        <v>0.95</v>
      </c>
      <c r="M31" s="78">
        <f t="shared" si="9"/>
        <v>68408.421052631587</v>
      </c>
      <c r="N31" s="79">
        <f t="shared" si="10"/>
        <v>0.90624807656798168</v>
      </c>
      <c r="O31" s="80">
        <f t="shared" si="0"/>
        <v>2993</v>
      </c>
      <c r="P31" s="19">
        <v>-106</v>
      </c>
      <c r="Q31" s="19">
        <v>1297</v>
      </c>
      <c r="R31" s="81">
        <f t="shared" si="1"/>
        <v>1191</v>
      </c>
      <c r="S31" s="82">
        <f t="shared" si="11"/>
        <v>2.566630723699952E-2</v>
      </c>
      <c r="T31" s="83" t="s">
        <v>165</v>
      </c>
      <c r="U31" s="83" t="s">
        <v>152</v>
      </c>
      <c r="V31" s="83" t="s">
        <v>159</v>
      </c>
      <c r="W31" s="113">
        <f t="shared" si="2"/>
        <v>91</v>
      </c>
      <c r="AA31" s="75" t="s">
        <v>103</v>
      </c>
      <c r="AB31" s="44">
        <v>0</v>
      </c>
    </row>
    <row r="32" spans="1:28" ht="15">
      <c r="A32" s="15">
        <f t="shared" si="8"/>
        <v>19</v>
      </c>
      <c r="B32" s="15" t="s">
        <v>209</v>
      </c>
      <c r="C32" s="16">
        <v>2021</v>
      </c>
      <c r="D32" s="75" t="s">
        <v>210</v>
      </c>
      <c r="E32" s="16">
        <v>3500</v>
      </c>
      <c r="F32" s="17">
        <v>15</v>
      </c>
      <c r="G32" s="75" t="s">
        <v>102</v>
      </c>
      <c r="H32" s="75" t="s">
        <v>103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No</v>
      </c>
      <c r="J32" s="37">
        <v>60495</v>
      </c>
      <c r="K32" s="37">
        <v>60495</v>
      </c>
      <c r="L32" s="35">
        <v>1</v>
      </c>
      <c r="M32" s="78">
        <f t="shared" si="9"/>
        <v>60495</v>
      </c>
      <c r="N32" s="79">
        <f t="shared" si="10"/>
        <v>1</v>
      </c>
      <c r="O32" s="80">
        <f t="shared" si="0"/>
        <v>0</v>
      </c>
      <c r="P32" s="19">
        <v>6852</v>
      </c>
      <c r="Q32" s="19">
        <v>5369</v>
      </c>
      <c r="R32" s="81">
        <f t="shared" si="1"/>
        <v>12221</v>
      </c>
      <c r="S32" s="82">
        <f t="shared" si="11"/>
        <v>5.4677031485934791</v>
      </c>
      <c r="T32" s="83" t="s">
        <v>164</v>
      </c>
      <c r="U32" s="83" t="s">
        <v>157</v>
      </c>
      <c r="V32" s="83" t="s">
        <v>159</v>
      </c>
      <c r="W32" s="113">
        <f t="shared" si="2"/>
        <v>30</v>
      </c>
      <c r="AA32" s="75" t="s">
        <v>103</v>
      </c>
      <c r="AB32" s="44">
        <v>0</v>
      </c>
    </row>
    <row r="33" spans="1:28" ht="15">
      <c r="A33" s="15">
        <f t="shared" si="8"/>
        <v>20</v>
      </c>
      <c r="B33" s="15" t="s">
        <v>211</v>
      </c>
      <c r="C33" s="16">
        <v>2018</v>
      </c>
      <c r="D33" s="75" t="s">
        <v>198</v>
      </c>
      <c r="E33" s="16" t="s">
        <v>212</v>
      </c>
      <c r="F33" s="17">
        <v>67</v>
      </c>
      <c r="G33" s="75" t="s">
        <v>109</v>
      </c>
      <c r="H33" s="75" t="s">
        <v>103</v>
      </c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No</v>
      </c>
      <c r="J33" s="37">
        <v>18988</v>
      </c>
      <c r="K33" s="37">
        <v>18988</v>
      </c>
      <c r="L33" s="35">
        <v>1</v>
      </c>
      <c r="M33" s="78">
        <f t="shared" si="9"/>
        <v>18988</v>
      </c>
      <c r="N33" s="79">
        <f t="shared" si="10"/>
        <v>1</v>
      </c>
      <c r="O33" s="80">
        <f t="shared" si="0"/>
        <v>0</v>
      </c>
      <c r="P33" s="19">
        <v>5864</v>
      </c>
      <c r="Q33" s="19">
        <v>1447</v>
      </c>
      <c r="R33" s="81">
        <f t="shared" si="1"/>
        <v>7311</v>
      </c>
      <c r="S33" s="82">
        <f t="shared" si="11"/>
        <v>2.9932173936777557</v>
      </c>
      <c r="T33" s="83" t="s">
        <v>166</v>
      </c>
      <c r="U33" s="83" t="s">
        <v>152</v>
      </c>
      <c r="V33" s="83" t="s">
        <v>159</v>
      </c>
      <c r="W33" s="113">
        <f t="shared" si="2"/>
        <v>90</v>
      </c>
      <c r="AA33" s="75" t="s">
        <v>103</v>
      </c>
      <c r="AB33" s="44">
        <v>0</v>
      </c>
    </row>
    <row r="34" spans="1:28" ht="15">
      <c r="A34" s="15">
        <f t="shared" si="8"/>
        <v>21</v>
      </c>
      <c r="B34" s="15" t="s">
        <v>213</v>
      </c>
      <c r="C34" s="16">
        <v>2014</v>
      </c>
      <c r="D34" s="75" t="s">
        <v>156</v>
      </c>
      <c r="E34" s="16" t="s">
        <v>214</v>
      </c>
      <c r="F34" s="17">
        <v>8</v>
      </c>
      <c r="G34" s="75" t="s">
        <v>109</v>
      </c>
      <c r="H34" s="75" t="s">
        <v>103</v>
      </c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Yes</v>
      </c>
      <c r="J34" s="37">
        <v>12981</v>
      </c>
      <c r="K34" s="37">
        <v>12981</v>
      </c>
      <c r="L34" s="35">
        <v>1</v>
      </c>
      <c r="M34" s="78">
        <f t="shared" si="9"/>
        <v>12981</v>
      </c>
      <c r="N34" s="79">
        <f t="shared" si="10"/>
        <v>1</v>
      </c>
      <c r="O34" s="80">
        <f t="shared" si="0"/>
        <v>0</v>
      </c>
      <c r="P34" s="19">
        <v>7468</v>
      </c>
      <c r="Q34" s="19">
        <v>1043</v>
      </c>
      <c r="R34" s="81">
        <f t="shared" si="1"/>
        <v>8511</v>
      </c>
      <c r="S34" s="82">
        <f t="shared" si="11"/>
        <v>69.471249773263196</v>
      </c>
      <c r="T34" s="83" t="s">
        <v>164</v>
      </c>
      <c r="U34" s="83" t="s">
        <v>158</v>
      </c>
      <c r="V34" s="83" t="s">
        <v>159</v>
      </c>
      <c r="W34" s="113">
        <f t="shared" si="2"/>
        <v>30</v>
      </c>
      <c r="AA34" s="75" t="s">
        <v>103</v>
      </c>
      <c r="AB34" s="44">
        <v>0</v>
      </c>
    </row>
    <row r="35" spans="1:28" ht="15">
      <c r="A35" s="15">
        <f t="shared" si="8"/>
        <v>22</v>
      </c>
      <c r="B35" s="15" t="s">
        <v>215</v>
      </c>
      <c r="C35" s="16">
        <v>2020</v>
      </c>
      <c r="D35" s="75" t="s">
        <v>14</v>
      </c>
      <c r="E35" s="16" t="s">
        <v>216</v>
      </c>
      <c r="F35" s="17">
        <v>6</v>
      </c>
      <c r="G35" s="75" t="s">
        <v>102</v>
      </c>
      <c r="H35" s="75" t="s">
        <v>107</v>
      </c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Yes</v>
      </c>
      <c r="J35" s="37">
        <v>30495</v>
      </c>
      <c r="K35" s="37">
        <v>30495</v>
      </c>
      <c r="L35" s="35">
        <v>1</v>
      </c>
      <c r="M35" s="78">
        <f t="shared" si="9"/>
        <v>30495</v>
      </c>
      <c r="N35" s="79">
        <f t="shared" si="10"/>
        <v>1</v>
      </c>
      <c r="O35" s="80">
        <f t="shared" si="0"/>
        <v>0</v>
      </c>
      <c r="P35" s="19">
        <v>4984</v>
      </c>
      <c r="Q35" s="19">
        <v>1050</v>
      </c>
      <c r="R35" s="81">
        <f t="shared" si="1"/>
        <v>6034</v>
      </c>
      <c r="S35" s="82">
        <f t="shared" si="11"/>
        <v>14.191525224412999</v>
      </c>
      <c r="T35" s="83" t="s">
        <v>163</v>
      </c>
      <c r="U35" s="83" t="s">
        <v>157</v>
      </c>
      <c r="V35" s="83" t="s">
        <v>159</v>
      </c>
      <c r="W35" s="113">
        <f t="shared" si="2"/>
        <v>30</v>
      </c>
      <c r="AA35" s="75" t="s">
        <v>103</v>
      </c>
      <c r="AB35" s="44">
        <v>0</v>
      </c>
    </row>
    <row r="36" spans="1:28" ht="15">
      <c r="A36" s="15">
        <f t="shared" si="8"/>
        <v>23</v>
      </c>
      <c r="B36" s="15" t="s">
        <v>218</v>
      </c>
      <c r="C36" s="16">
        <v>2019</v>
      </c>
      <c r="D36" s="75" t="s">
        <v>16</v>
      </c>
      <c r="E36" s="16">
        <v>2500</v>
      </c>
      <c r="F36" s="17">
        <v>50</v>
      </c>
      <c r="G36" s="75" t="s">
        <v>102</v>
      </c>
      <c r="H36" s="75" t="s">
        <v>103</v>
      </c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No</v>
      </c>
      <c r="J36" s="37">
        <v>51995</v>
      </c>
      <c r="K36" s="37">
        <v>50000</v>
      </c>
      <c r="L36" s="35">
        <v>0.96</v>
      </c>
      <c r="M36" s="78">
        <f t="shared" si="9"/>
        <v>54161.458333333336</v>
      </c>
      <c r="N36" s="79">
        <f t="shared" si="10"/>
        <v>0.92316568900855844</v>
      </c>
      <c r="O36" s="80">
        <f t="shared" si="0"/>
        <v>1995</v>
      </c>
      <c r="P36" s="19">
        <v>5599</v>
      </c>
      <c r="Q36" s="19">
        <v>3708</v>
      </c>
      <c r="R36" s="81">
        <f t="shared" si="1"/>
        <v>9307</v>
      </c>
      <c r="S36" s="82">
        <f t="shared" si="11"/>
        <v>1.5092092520438729</v>
      </c>
      <c r="T36" s="83" t="s">
        <v>162</v>
      </c>
      <c r="U36" s="83" t="s">
        <v>152</v>
      </c>
      <c r="V36" s="83" t="s">
        <v>153</v>
      </c>
      <c r="W36" s="113">
        <f t="shared" si="2"/>
        <v>60</v>
      </c>
      <c r="AA36" s="75" t="s">
        <v>103</v>
      </c>
      <c r="AB36" s="44">
        <v>0</v>
      </c>
    </row>
    <row r="37" spans="1:28" ht="15">
      <c r="A37" s="15">
        <f t="shared" si="8"/>
        <v>24</v>
      </c>
      <c r="B37" s="15" t="s">
        <v>217</v>
      </c>
      <c r="C37" s="16">
        <v>2021</v>
      </c>
      <c r="D37" s="75" t="s">
        <v>6</v>
      </c>
      <c r="E37" s="16" t="s">
        <v>219</v>
      </c>
      <c r="F37" s="17">
        <v>8</v>
      </c>
      <c r="G37" s="75" t="s">
        <v>102</v>
      </c>
      <c r="H37" s="75" t="s">
        <v>189</v>
      </c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No</v>
      </c>
      <c r="J37" s="37">
        <v>23295</v>
      </c>
      <c r="K37" s="37">
        <v>23295</v>
      </c>
      <c r="L37" s="35">
        <v>1</v>
      </c>
      <c r="M37" s="78">
        <f t="shared" si="9"/>
        <v>23295</v>
      </c>
      <c r="N37" s="79">
        <f t="shared" si="10"/>
        <v>1</v>
      </c>
      <c r="O37" s="80">
        <f t="shared" si="0"/>
        <v>0</v>
      </c>
      <c r="P37" s="19">
        <v>3809</v>
      </c>
      <c r="Q37" s="19">
        <v>154</v>
      </c>
      <c r="R37" s="81">
        <f t="shared" si="1"/>
        <v>3963</v>
      </c>
      <c r="S37" s="82">
        <f t="shared" si="11"/>
        <v>9.1519552499230219</v>
      </c>
      <c r="T37" s="83" t="s">
        <v>220</v>
      </c>
      <c r="U37" s="83" t="s">
        <v>158</v>
      </c>
      <c r="V37" s="83" t="s">
        <v>153</v>
      </c>
      <c r="W37" s="113">
        <f t="shared" si="2"/>
        <v>30</v>
      </c>
      <c r="AA37" s="75" t="s">
        <v>103</v>
      </c>
      <c r="AB37" s="44">
        <v>0</v>
      </c>
    </row>
    <row r="38" spans="1:28" ht="15">
      <c r="A38" s="15">
        <f t="shared" si="8"/>
        <v>25</v>
      </c>
      <c r="B38" s="15" t="s">
        <v>221</v>
      </c>
      <c r="C38" s="16">
        <v>2016</v>
      </c>
      <c r="D38" s="75" t="s">
        <v>16</v>
      </c>
      <c r="E38" s="16">
        <v>2500</v>
      </c>
      <c r="F38" s="17">
        <v>23</v>
      </c>
      <c r="G38" s="75" t="s">
        <v>102</v>
      </c>
      <c r="H38" s="75" t="s">
        <v>103</v>
      </c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No</v>
      </c>
      <c r="J38" s="37">
        <v>36981</v>
      </c>
      <c r="K38" s="37">
        <v>36981</v>
      </c>
      <c r="L38" s="35">
        <v>1.03</v>
      </c>
      <c r="M38" s="78">
        <f t="shared" si="9"/>
        <v>35903.88349514563</v>
      </c>
      <c r="N38" s="79">
        <f t="shared" si="10"/>
        <v>1.03</v>
      </c>
      <c r="O38" s="80">
        <f t="shared" si="0"/>
        <v>0</v>
      </c>
      <c r="P38" s="19">
        <v>3158</v>
      </c>
      <c r="Q38" s="19">
        <v>2105</v>
      </c>
      <c r="R38" s="81">
        <f t="shared" si="1"/>
        <v>5263</v>
      </c>
      <c r="S38" s="82">
        <f t="shared" si="11"/>
        <v>2.435543603593644</v>
      </c>
      <c r="T38" s="83" t="s">
        <v>161</v>
      </c>
      <c r="U38" s="83" t="s">
        <v>157</v>
      </c>
      <c r="V38" s="83" t="s">
        <v>153</v>
      </c>
      <c r="W38" s="113">
        <f t="shared" si="2"/>
        <v>30</v>
      </c>
      <c r="AA38" s="75" t="s">
        <v>107</v>
      </c>
      <c r="AB38" s="44">
        <v>3000</v>
      </c>
    </row>
    <row r="39" spans="1:28" ht="15">
      <c r="A39" s="15">
        <f t="shared" si="8"/>
        <v>26</v>
      </c>
      <c r="B39" s="15" t="s">
        <v>222</v>
      </c>
      <c r="C39" s="16">
        <v>2022</v>
      </c>
      <c r="D39" s="75" t="s">
        <v>22</v>
      </c>
      <c r="E39" s="16">
        <v>1500</v>
      </c>
      <c r="F39" s="17">
        <v>44</v>
      </c>
      <c r="G39" s="75" t="s">
        <v>102</v>
      </c>
      <c r="H39" s="75" t="s">
        <v>107</v>
      </c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Yes</v>
      </c>
      <c r="J39" s="37">
        <v>62795</v>
      </c>
      <c r="K39" s="37">
        <v>62795</v>
      </c>
      <c r="L39" s="35">
        <v>1</v>
      </c>
      <c r="M39" s="78">
        <f t="shared" si="9"/>
        <v>62795</v>
      </c>
      <c r="N39" s="79">
        <f t="shared" si="10"/>
        <v>1</v>
      </c>
      <c r="O39" s="80">
        <f t="shared" si="0"/>
        <v>0</v>
      </c>
      <c r="P39" s="19">
        <v>4096</v>
      </c>
      <c r="Q39" s="19">
        <v>1342</v>
      </c>
      <c r="R39" s="81">
        <f t="shared" si="1"/>
        <v>5438</v>
      </c>
      <c r="S39" s="82">
        <f t="shared" si="11"/>
        <v>0.75798100943333402</v>
      </c>
      <c r="T39" s="83" t="s">
        <v>165</v>
      </c>
      <c r="U39" s="83" t="s">
        <v>157</v>
      </c>
      <c r="V39" s="83" t="s">
        <v>159</v>
      </c>
      <c r="W39" s="113">
        <f t="shared" si="2"/>
        <v>45</v>
      </c>
      <c r="AA39" s="75" t="s">
        <v>103</v>
      </c>
      <c r="AB39" s="44">
        <v>0</v>
      </c>
    </row>
    <row r="40" spans="1:28" ht="15">
      <c r="A40" s="15">
        <f t="shared" si="8"/>
        <v>27</v>
      </c>
      <c r="B40" s="15" t="s">
        <v>223</v>
      </c>
      <c r="C40" s="16">
        <v>2020</v>
      </c>
      <c r="D40" s="75" t="s">
        <v>22</v>
      </c>
      <c r="E40" s="16" t="s">
        <v>224</v>
      </c>
      <c r="F40" s="17">
        <v>94</v>
      </c>
      <c r="G40" s="75" t="s">
        <v>102</v>
      </c>
      <c r="H40" s="75" t="s">
        <v>107</v>
      </c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Yes</v>
      </c>
      <c r="J40" s="37">
        <v>60995</v>
      </c>
      <c r="K40" s="37">
        <v>57250</v>
      </c>
      <c r="L40" s="35">
        <v>0.94</v>
      </c>
      <c r="M40" s="78">
        <f t="shared" si="9"/>
        <v>64888.29787234043</v>
      </c>
      <c r="N40" s="79">
        <f t="shared" si="10"/>
        <v>0.88228543323223207</v>
      </c>
      <c r="O40" s="80">
        <f t="shared" si="0"/>
        <v>3745</v>
      </c>
      <c r="P40" s="19">
        <v>1303</v>
      </c>
      <c r="Q40" s="19">
        <v>458</v>
      </c>
      <c r="R40" s="81">
        <f t="shared" si="1"/>
        <v>1761</v>
      </c>
      <c r="S40" s="82">
        <f t="shared" si="11"/>
        <v>0.12054722003233305</v>
      </c>
      <c r="T40" s="83" t="s">
        <v>163</v>
      </c>
      <c r="U40" s="83" t="s">
        <v>152</v>
      </c>
      <c r="V40" s="83" t="s">
        <v>153</v>
      </c>
      <c r="W40" s="113">
        <f t="shared" si="2"/>
        <v>91</v>
      </c>
      <c r="AA40" s="75" t="s">
        <v>107</v>
      </c>
      <c r="AB40" s="44">
        <v>-1750</v>
      </c>
    </row>
    <row r="41" spans="1:28" ht="15">
      <c r="A41" s="15">
        <f t="shared" si="8"/>
        <v>28</v>
      </c>
      <c r="B41" s="15" t="s">
        <v>225</v>
      </c>
      <c r="C41" s="16">
        <v>2014</v>
      </c>
      <c r="D41" s="75" t="s">
        <v>155</v>
      </c>
      <c r="E41" s="16" t="s">
        <v>226</v>
      </c>
      <c r="F41" s="17">
        <v>16</v>
      </c>
      <c r="G41" s="75" t="s">
        <v>102</v>
      </c>
      <c r="H41" s="75" t="s">
        <v>103</v>
      </c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Yes</v>
      </c>
      <c r="J41" s="37">
        <v>16595</v>
      </c>
      <c r="K41" s="37">
        <v>16161.44</v>
      </c>
      <c r="L41" s="35">
        <v>0.98</v>
      </c>
      <c r="M41" s="78">
        <f t="shared" si="9"/>
        <v>16933.673469387755</v>
      </c>
      <c r="N41" s="79">
        <f t="shared" si="10"/>
        <v>0.95439657728231397</v>
      </c>
      <c r="O41" s="80">
        <f t="shared" si="0"/>
        <v>433.55999999999949</v>
      </c>
      <c r="P41" s="19">
        <v>5695</v>
      </c>
      <c r="Q41" s="19">
        <v>458</v>
      </c>
      <c r="R41" s="81">
        <f t="shared" si="1"/>
        <v>6153</v>
      </c>
      <c r="S41" s="82">
        <f t="shared" si="11"/>
        <v>13.227276896442342</v>
      </c>
      <c r="T41" s="83" t="s">
        <v>164</v>
      </c>
      <c r="U41" s="83" t="s">
        <v>152</v>
      </c>
      <c r="V41" s="83" t="s">
        <v>159</v>
      </c>
      <c r="W41" s="113">
        <f t="shared" si="2"/>
        <v>30</v>
      </c>
      <c r="AA41" s="75" t="s">
        <v>103</v>
      </c>
      <c r="AB41" s="44">
        <v>0</v>
      </c>
    </row>
    <row r="42" spans="1:28" ht="15">
      <c r="A42" s="15">
        <f t="shared" si="8"/>
        <v>29</v>
      </c>
      <c r="B42" s="15" t="s">
        <v>227</v>
      </c>
      <c r="C42" s="16">
        <v>2016</v>
      </c>
      <c r="D42" s="75" t="s">
        <v>203</v>
      </c>
      <c r="E42" s="16" t="s">
        <v>228</v>
      </c>
      <c r="F42" s="17">
        <v>12</v>
      </c>
      <c r="G42" s="75" t="s">
        <v>102</v>
      </c>
      <c r="H42" s="75" t="s">
        <v>103</v>
      </c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No</v>
      </c>
      <c r="J42" s="37">
        <v>26995</v>
      </c>
      <c r="K42" s="37">
        <v>25995</v>
      </c>
      <c r="L42" s="35">
        <v>0.96</v>
      </c>
      <c r="M42" s="78">
        <f t="shared" si="9"/>
        <v>28119.791666666668</v>
      </c>
      <c r="N42" s="79">
        <f t="shared" si="10"/>
        <v>0.92443785886275232</v>
      </c>
      <c r="O42" s="80">
        <f t="shared" si="0"/>
        <v>1000</v>
      </c>
      <c r="P42" s="19">
        <v>1576</v>
      </c>
      <c r="Q42" s="19">
        <v>0</v>
      </c>
      <c r="R42" s="81">
        <f t="shared" si="1"/>
        <v>1576</v>
      </c>
      <c r="S42" s="82">
        <f t="shared" si="11"/>
        <v>1.9361972234735245</v>
      </c>
      <c r="T42" s="83" t="s">
        <v>173</v>
      </c>
      <c r="U42" s="83" t="s">
        <v>157</v>
      </c>
      <c r="V42" s="83" t="s">
        <v>153</v>
      </c>
      <c r="W42" s="113">
        <f t="shared" si="2"/>
        <v>30</v>
      </c>
      <c r="AA42" s="75" t="s">
        <v>103</v>
      </c>
      <c r="AB42" s="44">
        <v>0</v>
      </c>
    </row>
    <row r="43" spans="1:28" ht="15">
      <c r="A43" s="15">
        <f t="shared" si="8"/>
        <v>30</v>
      </c>
      <c r="B43" s="15" t="s">
        <v>231</v>
      </c>
      <c r="C43" s="16">
        <v>2020</v>
      </c>
      <c r="D43" s="75" t="s">
        <v>28</v>
      </c>
      <c r="E43" s="16" t="s">
        <v>229</v>
      </c>
      <c r="F43" s="17">
        <v>25</v>
      </c>
      <c r="G43" s="75" t="s">
        <v>102</v>
      </c>
      <c r="H43" s="75" t="s">
        <v>103</v>
      </c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No</v>
      </c>
      <c r="J43" s="37">
        <v>28495</v>
      </c>
      <c r="K43" s="37">
        <v>27795</v>
      </c>
      <c r="L43" s="35">
        <v>0.98</v>
      </c>
      <c r="M43" s="78">
        <f t="shared" si="9"/>
        <v>29076.5306122449</v>
      </c>
      <c r="N43" s="79">
        <f t="shared" si="10"/>
        <v>0.95592560098262847</v>
      </c>
      <c r="O43" s="80">
        <f t="shared" si="0"/>
        <v>700</v>
      </c>
      <c r="P43" s="19">
        <v>3367</v>
      </c>
      <c r="Q43" s="19">
        <v>1386</v>
      </c>
      <c r="R43" s="81">
        <f t="shared" si="1"/>
        <v>4753</v>
      </c>
      <c r="S43" s="82">
        <f t="shared" si="11"/>
        <v>2.8018339610283283</v>
      </c>
      <c r="T43" s="83" t="s">
        <v>166</v>
      </c>
      <c r="U43" s="83" t="s">
        <v>152</v>
      </c>
      <c r="V43" s="83" t="s">
        <v>153</v>
      </c>
      <c r="W43" s="113">
        <f t="shared" si="2"/>
        <v>30</v>
      </c>
      <c r="AA43" s="75" t="s">
        <v>107</v>
      </c>
      <c r="AB43" s="44">
        <v>0</v>
      </c>
    </row>
    <row r="44" spans="1:28" ht="15">
      <c r="A44" s="15">
        <f t="shared" si="8"/>
        <v>31</v>
      </c>
      <c r="B44" s="15" t="s">
        <v>232</v>
      </c>
      <c r="C44" s="16">
        <v>2021</v>
      </c>
      <c r="D44" s="75" t="s">
        <v>53</v>
      </c>
      <c r="E44" s="16" t="s">
        <v>230</v>
      </c>
      <c r="F44" s="17">
        <v>85</v>
      </c>
      <c r="G44" s="75" t="s">
        <v>109</v>
      </c>
      <c r="H44" s="75" t="s">
        <v>103</v>
      </c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No</v>
      </c>
      <c r="J44" s="37">
        <v>36995</v>
      </c>
      <c r="K44" s="37">
        <v>36995</v>
      </c>
      <c r="L44" s="35">
        <v>0.93</v>
      </c>
      <c r="M44" s="78">
        <f t="shared" si="9"/>
        <v>39779.569892473119</v>
      </c>
      <c r="N44" s="79">
        <f t="shared" si="10"/>
        <v>0.92999999999999994</v>
      </c>
      <c r="O44" s="80">
        <f t="shared" si="0"/>
        <v>0</v>
      </c>
      <c r="P44" s="19">
        <v>1782</v>
      </c>
      <c r="Q44" s="19">
        <v>2576</v>
      </c>
      <c r="R44" s="81">
        <f t="shared" si="1"/>
        <v>4358</v>
      </c>
      <c r="S44" s="82">
        <f t="shared" si="11"/>
        <v>0.52416470521415048</v>
      </c>
      <c r="T44" s="83" t="s">
        <v>162</v>
      </c>
      <c r="U44" s="83" t="s">
        <v>152</v>
      </c>
      <c r="V44" s="83" t="s">
        <v>159</v>
      </c>
      <c r="W44" s="113">
        <f t="shared" si="2"/>
        <v>90</v>
      </c>
      <c r="AA44" s="75" t="s">
        <v>107</v>
      </c>
      <c r="AB44" s="44">
        <v>0</v>
      </c>
    </row>
    <row r="45" spans="1:28" ht="15">
      <c r="A45" s="15">
        <f t="shared" si="8"/>
        <v>32</v>
      </c>
      <c r="B45" s="15" t="s">
        <v>233</v>
      </c>
      <c r="C45" s="16">
        <v>2020</v>
      </c>
      <c r="D45" s="75" t="s">
        <v>51</v>
      </c>
      <c r="E45" s="16" t="s">
        <v>214</v>
      </c>
      <c r="F45" s="17">
        <v>14</v>
      </c>
      <c r="G45" s="75" t="s">
        <v>102</v>
      </c>
      <c r="H45" s="75" t="s">
        <v>107</v>
      </c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Yes</v>
      </c>
      <c r="J45" s="37">
        <v>30981</v>
      </c>
      <c r="K45" s="37">
        <v>30981</v>
      </c>
      <c r="L45" s="35">
        <v>1</v>
      </c>
      <c r="M45" s="78">
        <f t="shared" si="9"/>
        <v>30981</v>
      </c>
      <c r="N45" s="79">
        <f t="shared" si="10"/>
        <v>1</v>
      </c>
      <c r="O45" s="80">
        <f t="shared" si="0"/>
        <v>0</v>
      </c>
      <c r="P45" s="19">
        <v>3243</v>
      </c>
      <c r="Q45" s="19">
        <v>1900</v>
      </c>
      <c r="R45" s="81">
        <f t="shared" si="1"/>
        <v>5143</v>
      </c>
      <c r="S45" s="82">
        <f t="shared" si="11"/>
        <v>4.7677760266988045</v>
      </c>
      <c r="T45" s="83" t="s">
        <v>167</v>
      </c>
      <c r="U45" s="83" t="s">
        <v>158</v>
      </c>
      <c r="V45" s="83" t="s">
        <v>153</v>
      </c>
      <c r="W45" s="113">
        <f t="shared" ref="W45:W76" si="12">IF(AND(F45&gt;0,F45&lt;=30),30,IF(AND(F45&gt;=31,F45&lt;=45),45,IF(AND(F45&gt;=46,F45&lt;=60),60,IF(AND(F45&gt;=61,F45&lt;=90),90,IF(F45&gt;=91,91,0)))))</f>
        <v>30</v>
      </c>
      <c r="AA45" s="75" t="s">
        <v>107</v>
      </c>
      <c r="AB45" s="44">
        <v>500</v>
      </c>
    </row>
    <row r="46" spans="1:28" ht="15">
      <c r="A46" s="15">
        <f t="shared" si="8"/>
        <v>33</v>
      </c>
      <c r="B46" s="15" t="s">
        <v>234</v>
      </c>
      <c r="C46" s="16">
        <v>2021</v>
      </c>
      <c r="D46" s="75" t="s">
        <v>20</v>
      </c>
      <c r="E46" s="16" t="s">
        <v>235</v>
      </c>
      <c r="F46" s="17">
        <v>58</v>
      </c>
      <c r="G46" s="75" t="s">
        <v>102</v>
      </c>
      <c r="H46" s="75" t="s">
        <v>103</v>
      </c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No</v>
      </c>
      <c r="J46" s="37">
        <v>64832</v>
      </c>
      <c r="K46" s="37">
        <v>64832</v>
      </c>
      <c r="L46" s="35">
        <v>1.02</v>
      </c>
      <c r="M46" s="78">
        <f t="shared" si="9"/>
        <v>63560.784313725489</v>
      </c>
      <c r="N46" s="79">
        <f t="shared" si="10"/>
        <v>1.02</v>
      </c>
      <c r="O46" s="80">
        <f t="shared" si="0"/>
        <v>0</v>
      </c>
      <c r="P46" s="19">
        <v>4979</v>
      </c>
      <c r="Q46" s="19">
        <v>2589</v>
      </c>
      <c r="R46" s="81">
        <f t="shared" si="1"/>
        <v>7568</v>
      </c>
      <c r="S46" s="82">
        <f t="shared" si="11"/>
        <v>0.78481935915406531</v>
      </c>
      <c r="T46" s="83" t="s">
        <v>161</v>
      </c>
      <c r="U46" s="83" t="s">
        <v>152</v>
      </c>
      <c r="V46" s="83" t="s">
        <v>153</v>
      </c>
      <c r="W46" s="113">
        <f t="shared" si="12"/>
        <v>60</v>
      </c>
      <c r="AA46" s="75" t="s">
        <v>103</v>
      </c>
      <c r="AB46" s="44">
        <v>0</v>
      </c>
    </row>
    <row r="47" spans="1:28" ht="15">
      <c r="A47" s="15">
        <f t="shared" si="8"/>
        <v>34</v>
      </c>
      <c r="B47" s="15" t="s">
        <v>236</v>
      </c>
      <c r="C47" s="16">
        <v>2018</v>
      </c>
      <c r="D47" s="75" t="s">
        <v>155</v>
      </c>
      <c r="E47" s="16" t="s">
        <v>237</v>
      </c>
      <c r="F47" s="17">
        <v>169</v>
      </c>
      <c r="G47" s="75" t="s">
        <v>102</v>
      </c>
      <c r="H47" s="75" t="s">
        <v>107</v>
      </c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Yes</v>
      </c>
      <c r="J47" s="37">
        <v>58595</v>
      </c>
      <c r="K47" s="37">
        <v>58595</v>
      </c>
      <c r="L47" s="35">
        <v>1</v>
      </c>
      <c r="M47" s="78">
        <f t="shared" si="9"/>
        <v>58595</v>
      </c>
      <c r="N47" s="79">
        <f t="shared" si="10"/>
        <v>1</v>
      </c>
      <c r="O47" s="80">
        <f t="shared" si="0"/>
        <v>0</v>
      </c>
      <c r="P47" s="19">
        <v>1122</v>
      </c>
      <c r="Q47" s="19">
        <v>4013</v>
      </c>
      <c r="R47" s="81">
        <f t="shared" si="1"/>
        <v>5135</v>
      </c>
      <c r="S47" s="82">
        <f t="shared" si="11"/>
        <v>0.19032348300004417</v>
      </c>
      <c r="T47" s="83" t="s">
        <v>162</v>
      </c>
      <c r="U47" s="83" t="s">
        <v>152</v>
      </c>
      <c r="V47" s="83" t="s">
        <v>153</v>
      </c>
      <c r="W47" s="113">
        <f t="shared" si="12"/>
        <v>91</v>
      </c>
      <c r="AA47" s="75" t="s">
        <v>103</v>
      </c>
      <c r="AB47" s="44">
        <v>0</v>
      </c>
    </row>
    <row r="48" spans="1:28" ht="15">
      <c r="A48" s="15">
        <f t="shared" si="8"/>
        <v>35</v>
      </c>
      <c r="B48" s="15" t="s">
        <v>238</v>
      </c>
      <c r="C48" s="16">
        <v>2019</v>
      </c>
      <c r="D48" s="75" t="s">
        <v>28</v>
      </c>
      <c r="E48" s="16" t="s">
        <v>239</v>
      </c>
      <c r="F48" s="17">
        <v>186</v>
      </c>
      <c r="G48" s="75" t="s">
        <v>102</v>
      </c>
      <c r="H48" s="75" t="s">
        <v>103</v>
      </c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No</v>
      </c>
      <c r="J48" s="37">
        <v>31495</v>
      </c>
      <c r="K48" s="37">
        <v>31495</v>
      </c>
      <c r="L48" s="35">
        <v>1</v>
      </c>
      <c r="M48" s="78">
        <f t="shared" si="9"/>
        <v>31495</v>
      </c>
      <c r="N48" s="79">
        <f t="shared" si="10"/>
        <v>1</v>
      </c>
      <c r="O48" s="80">
        <f t="shared" si="0"/>
        <v>0</v>
      </c>
      <c r="P48" s="19">
        <v>-232</v>
      </c>
      <c r="Q48" s="19">
        <v>550</v>
      </c>
      <c r="R48" s="81">
        <f t="shared" si="1"/>
        <v>318</v>
      </c>
      <c r="S48" s="82">
        <f t="shared" si="11"/>
        <v>1.939937185891329E-2</v>
      </c>
      <c r="T48" s="83" t="s">
        <v>163</v>
      </c>
      <c r="U48" s="83" t="s">
        <v>152</v>
      </c>
      <c r="V48" s="83" t="s">
        <v>153</v>
      </c>
      <c r="W48" s="113">
        <f t="shared" si="12"/>
        <v>91</v>
      </c>
      <c r="AA48" s="75" t="s">
        <v>107</v>
      </c>
      <c r="AB48" s="44">
        <v>0</v>
      </c>
    </row>
    <row r="49" spans="1:28" ht="15">
      <c r="A49" s="15">
        <f t="shared" si="8"/>
        <v>36</v>
      </c>
      <c r="B49" s="15" t="s">
        <v>240</v>
      </c>
      <c r="C49" s="16">
        <v>2017</v>
      </c>
      <c r="D49" s="75" t="s">
        <v>169</v>
      </c>
      <c r="E49" s="16" t="s">
        <v>170</v>
      </c>
      <c r="F49" s="17">
        <v>84</v>
      </c>
      <c r="G49" s="75" t="s">
        <v>102</v>
      </c>
      <c r="H49" s="75" t="s">
        <v>103</v>
      </c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No</v>
      </c>
      <c r="J49" s="37">
        <v>29895</v>
      </c>
      <c r="K49" s="37">
        <v>27463</v>
      </c>
      <c r="L49" s="35">
        <v>0.92</v>
      </c>
      <c r="M49" s="78">
        <f t="shared" si="9"/>
        <v>32494.565217391304</v>
      </c>
      <c r="N49" s="79">
        <f t="shared" si="10"/>
        <v>0.84515671516976087</v>
      </c>
      <c r="O49" s="80">
        <f t="shared" si="0"/>
        <v>2432</v>
      </c>
      <c r="P49" s="19">
        <v>1344</v>
      </c>
      <c r="Q49" s="19">
        <v>0</v>
      </c>
      <c r="R49" s="81">
        <f t="shared" si="1"/>
        <v>1344</v>
      </c>
      <c r="S49" s="82">
        <f t="shared" si="11"/>
        <v>0.22052911673494391</v>
      </c>
      <c r="T49" s="83" t="s">
        <v>220</v>
      </c>
      <c r="U49" s="83" t="s">
        <v>158</v>
      </c>
      <c r="V49" s="83" t="s">
        <v>153</v>
      </c>
      <c r="W49" s="113">
        <f t="shared" si="12"/>
        <v>90</v>
      </c>
      <c r="AA49" s="75" t="s">
        <v>103</v>
      </c>
      <c r="AB49" s="44">
        <v>0</v>
      </c>
    </row>
    <row r="50" spans="1:28" ht="15">
      <c r="A50" s="15">
        <f t="shared" si="8"/>
        <v>37</v>
      </c>
      <c r="B50" s="15" t="s">
        <v>241</v>
      </c>
      <c r="C50" s="16">
        <v>2014</v>
      </c>
      <c r="D50" s="75" t="s">
        <v>155</v>
      </c>
      <c r="E50" s="16" t="s">
        <v>242</v>
      </c>
      <c r="F50" s="17">
        <v>25</v>
      </c>
      <c r="G50" s="75" t="s">
        <v>102</v>
      </c>
      <c r="H50" s="75" t="s">
        <v>103</v>
      </c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Yes</v>
      </c>
      <c r="J50" s="37">
        <v>20495</v>
      </c>
      <c r="K50" s="37">
        <v>20495</v>
      </c>
      <c r="L50" s="35">
        <v>1</v>
      </c>
      <c r="M50" s="78">
        <f t="shared" si="9"/>
        <v>20495</v>
      </c>
      <c r="N50" s="79">
        <f t="shared" si="10"/>
        <v>1</v>
      </c>
      <c r="O50" s="80">
        <f t="shared" si="0"/>
        <v>0</v>
      </c>
      <c r="P50" s="19">
        <v>1344</v>
      </c>
      <c r="Q50" s="19">
        <v>2009</v>
      </c>
      <c r="R50" s="81">
        <f t="shared" si="1"/>
        <v>3353</v>
      </c>
      <c r="S50" s="82">
        <f t="shared" si="11"/>
        <v>2.521184272361757</v>
      </c>
      <c r="T50" s="83" t="s">
        <v>162</v>
      </c>
      <c r="U50" s="83" t="s">
        <v>152</v>
      </c>
      <c r="V50" s="83" t="s">
        <v>153</v>
      </c>
      <c r="W50" s="113">
        <f t="shared" si="12"/>
        <v>30</v>
      </c>
      <c r="AA50" s="75" t="s">
        <v>103</v>
      </c>
      <c r="AB50" s="44">
        <v>0</v>
      </c>
    </row>
    <row r="51" spans="1:28" ht="15">
      <c r="A51" s="15">
        <f t="shared" si="8"/>
        <v>38</v>
      </c>
      <c r="B51" s="15" t="s">
        <v>243</v>
      </c>
      <c r="C51" s="16">
        <v>2021</v>
      </c>
      <c r="D51" s="75" t="s">
        <v>210</v>
      </c>
      <c r="E51" s="16">
        <v>3500</v>
      </c>
      <c r="F51" s="17">
        <v>38</v>
      </c>
      <c r="G51" s="75" t="s">
        <v>102</v>
      </c>
      <c r="H51" s="75" t="s">
        <v>103</v>
      </c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No</v>
      </c>
      <c r="J51" s="37">
        <v>81995</v>
      </c>
      <c r="K51" s="37">
        <v>81995</v>
      </c>
      <c r="L51" s="35">
        <v>1</v>
      </c>
      <c r="M51" s="78">
        <f t="shared" si="9"/>
        <v>81995</v>
      </c>
      <c r="N51" s="79">
        <f t="shared" si="10"/>
        <v>1</v>
      </c>
      <c r="O51" s="80">
        <f t="shared" si="0"/>
        <v>0</v>
      </c>
      <c r="P51" s="19">
        <v>7684</v>
      </c>
      <c r="Q51" s="19">
        <v>2898</v>
      </c>
      <c r="R51" s="81">
        <f t="shared" si="1"/>
        <v>10582</v>
      </c>
      <c r="S51" s="82">
        <f t="shared" si="11"/>
        <v>1.3490671140987132</v>
      </c>
      <c r="T51" s="83" t="s">
        <v>160</v>
      </c>
      <c r="U51" s="83" t="s">
        <v>152</v>
      </c>
      <c r="V51" s="83" t="s">
        <v>159</v>
      </c>
      <c r="W51" s="113">
        <f t="shared" si="12"/>
        <v>45</v>
      </c>
      <c r="AA51" s="75" t="s">
        <v>103</v>
      </c>
      <c r="AB51" s="44">
        <v>0</v>
      </c>
    </row>
    <row r="52" spans="1:28" ht="15">
      <c r="A52" s="15">
        <f t="shared" si="8"/>
        <v>39</v>
      </c>
      <c r="B52" s="15" t="s">
        <v>244</v>
      </c>
      <c r="C52" s="16">
        <v>2019</v>
      </c>
      <c r="D52" s="75" t="s">
        <v>33</v>
      </c>
      <c r="E52" s="16" t="s">
        <v>245</v>
      </c>
      <c r="F52" s="17">
        <v>173</v>
      </c>
      <c r="G52" s="75" t="s">
        <v>102</v>
      </c>
      <c r="H52" s="75" t="s">
        <v>103</v>
      </c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No</v>
      </c>
      <c r="J52" s="37">
        <v>38995</v>
      </c>
      <c r="K52" s="37">
        <v>38795</v>
      </c>
      <c r="L52" s="35">
        <v>0.99</v>
      </c>
      <c r="M52" s="78">
        <f t="shared" si="9"/>
        <v>39388.888888888891</v>
      </c>
      <c r="N52" s="79">
        <f t="shared" si="10"/>
        <v>0.98492242595204504</v>
      </c>
      <c r="O52" s="80">
        <f t="shared" si="0"/>
        <v>200</v>
      </c>
      <c r="P52" s="19">
        <v>3225</v>
      </c>
      <c r="Q52" s="19">
        <v>380</v>
      </c>
      <c r="R52" s="81">
        <f t="shared" si="1"/>
        <v>3605</v>
      </c>
      <c r="S52" s="82">
        <f t="shared" si="11"/>
        <v>0.21090059331026828</v>
      </c>
      <c r="T52" s="83" t="s">
        <v>161</v>
      </c>
      <c r="U52" s="83" t="s">
        <v>152</v>
      </c>
      <c r="V52" s="83" t="s">
        <v>159</v>
      </c>
      <c r="W52" s="113">
        <f t="shared" si="12"/>
        <v>91</v>
      </c>
      <c r="AA52" s="75" t="s">
        <v>103</v>
      </c>
      <c r="AB52" s="44">
        <v>0</v>
      </c>
    </row>
    <row r="53" spans="1:28" ht="15">
      <c r="A53" s="15">
        <f t="shared" si="8"/>
        <v>40</v>
      </c>
      <c r="B53" s="15" t="s">
        <v>246</v>
      </c>
      <c r="C53" s="16">
        <v>2020</v>
      </c>
      <c r="D53" s="75" t="s">
        <v>22</v>
      </c>
      <c r="E53" s="16" t="s">
        <v>247</v>
      </c>
      <c r="F53" s="17">
        <v>191</v>
      </c>
      <c r="G53" s="75" t="s">
        <v>102</v>
      </c>
      <c r="H53" s="75" t="s">
        <v>103</v>
      </c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Yes</v>
      </c>
      <c r="J53" s="37">
        <v>64595</v>
      </c>
      <c r="K53" s="37">
        <v>63655</v>
      </c>
      <c r="L53" s="35">
        <v>0.99</v>
      </c>
      <c r="M53" s="78">
        <f t="shared" si="9"/>
        <v>65247.474747474749</v>
      </c>
      <c r="N53" s="79">
        <f t="shared" si="10"/>
        <v>0.97559331217586498</v>
      </c>
      <c r="O53" s="80">
        <f t="shared" si="0"/>
        <v>940</v>
      </c>
      <c r="P53" s="19">
        <v>1125</v>
      </c>
      <c r="Q53" s="19">
        <v>439</v>
      </c>
      <c r="R53" s="81">
        <f t="shared" si="1"/>
        <v>1564</v>
      </c>
      <c r="S53" s="82">
        <f t="shared" si="11"/>
        <v>4.7143025797878803E-2</v>
      </c>
      <c r="T53" s="83" t="s">
        <v>166</v>
      </c>
      <c r="U53" s="83" t="s">
        <v>152</v>
      </c>
      <c r="V53" s="83" t="s">
        <v>153</v>
      </c>
      <c r="W53" s="113">
        <f t="shared" si="12"/>
        <v>91</v>
      </c>
      <c r="AA53" s="75" t="s">
        <v>103</v>
      </c>
      <c r="AB53" s="44">
        <v>0</v>
      </c>
    </row>
    <row r="54" spans="1:28" ht="15">
      <c r="A54" s="15">
        <f t="shared" si="8"/>
        <v>41</v>
      </c>
      <c r="B54" s="15" t="s">
        <v>248</v>
      </c>
      <c r="C54" s="16">
        <v>2018</v>
      </c>
      <c r="D54" s="75" t="s">
        <v>14</v>
      </c>
      <c r="E54" s="16" t="s">
        <v>249</v>
      </c>
      <c r="F54" s="17">
        <v>35</v>
      </c>
      <c r="G54" s="75" t="s">
        <v>102</v>
      </c>
      <c r="H54" s="75" t="s">
        <v>107</v>
      </c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Yes</v>
      </c>
      <c r="J54" s="37">
        <v>34795</v>
      </c>
      <c r="K54" s="37">
        <v>34795</v>
      </c>
      <c r="L54" s="35">
        <v>1</v>
      </c>
      <c r="M54" s="78">
        <f t="shared" si="9"/>
        <v>34795</v>
      </c>
      <c r="N54" s="79">
        <f t="shared" si="10"/>
        <v>1</v>
      </c>
      <c r="O54" s="80">
        <f t="shared" si="0"/>
        <v>0</v>
      </c>
      <c r="P54" s="19">
        <v>3875</v>
      </c>
      <c r="Q54" s="19">
        <v>2950</v>
      </c>
      <c r="R54" s="81">
        <f t="shared" si="1"/>
        <v>6825</v>
      </c>
      <c r="S54" s="82">
        <f t="shared" si="11"/>
        <v>2.2703751617076326</v>
      </c>
      <c r="T54" s="83" t="s">
        <v>161</v>
      </c>
      <c r="U54" s="83" t="s">
        <v>157</v>
      </c>
      <c r="V54" s="83" t="s">
        <v>153</v>
      </c>
      <c r="W54" s="113">
        <f t="shared" si="12"/>
        <v>45</v>
      </c>
      <c r="AA54" s="75" t="s">
        <v>103</v>
      </c>
      <c r="AB54" s="44">
        <v>0</v>
      </c>
    </row>
    <row r="55" spans="1:28" ht="15">
      <c r="A55" s="15">
        <f t="shared" si="8"/>
        <v>42</v>
      </c>
      <c r="B55" s="15" t="s">
        <v>250</v>
      </c>
      <c r="C55" s="16">
        <v>2018</v>
      </c>
      <c r="D55" s="75" t="s">
        <v>156</v>
      </c>
      <c r="E55" s="16" t="s">
        <v>176</v>
      </c>
      <c r="F55" s="17">
        <v>26</v>
      </c>
      <c r="G55" s="75" t="s">
        <v>102</v>
      </c>
      <c r="H55" s="75" t="s">
        <v>107</v>
      </c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Yes</v>
      </c>
      <c r="J55" s="37">
        <v>26981</v>
      </c>
      <c r="K55" s="37">
        <v>26000</v>
      </c>
      <c r="L55" s="35">
        <v>0.96</v>
      </c>
      <c r="M55" s="78">
        <f t="shared" si="9"/>
        <v>28105.208333333336</v>
      </c>
      <c r="N55" s="79">
        <f t="shared" si="10"/>
        <v>0.9250954375301137</v>
      </c>
      <c r="O55" s="80">
        <f t="shared" si="0"/>
        <v>981</v>
      </c>
      <c r="P55" s="19">
        <v>2762</v>
      </c>
      <c r="Q55" s="19">
        <v>400</v>
      </c>
      <c r="R55" s="81">
        <f t="shared" si="1"/>
        <v>3162</v>
      </c>
      <c r="S55" s="82">
        <f t="shared" si="11"/>
        <v>1.8840493356372521</v>
      </c>
      <c r="T55" s="83" t="s">
        <v>161</v>
      </c>
      <c r="U55" s="83" t="s">
        <v>157</v>
      </c>
      <c r="V55" s="83" t="s">
        <v>159</v>
      </c>
      <c r="W55" s="113">
        <f t="shared" si="12"/>
        <v>30</v>
      </c>
      <c r="AA55" s="75" t="s">
        <v>103</v>
      </c>
      <c r="AB55" s="44">
        <v>0</v>
      </c>
    </row>
    <row r="56" spans="1:28" ht="15">
      <c r="A56" s="15">
        <f t="shared" si="8"/>
        <v>43</v>
      </c>
      <c r="B56" s="15" t="s">
        <v>251</v>
      </c>
      <c r="C56" s="16">
        <v>2019</v>
      </c>
      <c r="D56" s="75" t="s">
        <v>22</v>
      </c>
      <c r="E56" s="16" t="s">
        <v>207</v>
      </c>
      <c r="F56" s="17">
        <v>13</v>
      </c>
      <c r="G56" s="75" t="s">
        <v>102</v>
      </c>
      <c r="H56" s="75" t="s">
        <v>107</v>
      </c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Yes</v>
      </c>
      <c r="J56" s="37">
        <v>44995</v>
      </c>
      <c r="K56" s="37">
        <v>44995</v>
      </c>
      <c r="L56" s="35">
        <v>1</v>
      </c>
      <c r="M56" s="78">
        <f t="shared" si="9"/>
        <v>44995</v>
      </c>
      <c r="N56" s="79">
        <f t="shared" si="10"/>
        <v>1</v>
      </c>
      <c r="O56" s="80">
        <f t="shared" si="0"/>
        <v>0</v>
      </c>
      <c r="P56" s="19">
        <v>4573</v>
      </c>
      <c r="Q56" s="19">
        <v>4427</v>
      </c>
      <c r="R56" s="81">
        <f t="shared" si="1"/>
        <v>9000</v>
      </c>
      <c r="S56" s="82">
        <f t="shared" si="11"/>
        <v>6.1657208755323643</v>
      </c>
      <c r="T56" s="83" t="s">
        <v>173</v>
      </c>
      <c r="U56" s="83" t="s">
        <v>152</v>
      </c>
      <c r="V56" s="83" t="s">
        <v>153</v>
      </c>
      <c r="W56" s="113">
        <f t="shared" si="12"/>
        <v>30</v>
      </c>
      <c r="AA56" s="75" t="s">
        <v>103</v>
      </c>
      <c r="AB56" s="44">
        <v>0</v>
      </c>
    </row>
    <row r="57" spans="1:28" ht="15">
      <c r="A57" s="15">
        <f t="shared" si="8"/>
        <v>44</v>
      </c>
      <c r="B57" s="15" t="s">
        <v>252</v>
      </c>
      <c r="C57" s="16">
        <v>2022</v>
      </c>
      <c r="D57" s="75" t="s">
        <v>156</v>
      </c>
      <c r="E57" s="16" t="s">
        <v>178</v>
      </c>
      <c r="F57" s="17">
        <v>8</v>
      </c>
      <c r="G57" s="75" t="s">
        <v>102</v>
      </c>
      <c r="H57" s="75" t="s">
        <v>253</v>
      </c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Yes</v>
      </c>
      <c r="J57" s="37">
        <v>38981</v>
      </c>
      <c r="K57" s="37">
        <v>38297</v>
      </c>
      <c r="L57" s="35">
        <v>0.98</v>
      </c>
      <c r="M57" s="78">
        <f t="shared" si="9"/>
        <v>39776.530612244896</v>
      </c>
      <c r="N57" s="79">
        <f t="shared" si="10"/>
        <v>0.96280393011980203</v>
      </c>
      <c r="O57" s="80">
        <f t="shared" si="0"/>
        <v>684</v>
      </c>
      <c r="P57" s="19">
        <v>3629</v>
      </c>
      <c r="Q57" s="19">
        <v>1224</v>
      </c>
      <c r="R57" s="81">
        <f t="shared" si="1"/>
        <v>4853</v>
      </c>
      <c r="S57" s="82">
        <f t="shared" si="11"/>
        <v>6.29932502596054</v>
      </c>
      <c r="T57" s="83" t="s">
        <v>165</v>
      </c>
      <c r="U57" s="83" t="s">
        <v>158</v>
      </c>
      <c r="V57" s="83" t="s">
        <v>153</v>
      </c>
      <c r="W57" s="113">
        <f t="shared" si="12"/>
        <v>30</v>
      </c>
      <c r="AA57" s="75" t="s">
        <v>253</v>
      </c>
      <c r="AB57" s="44">
        <v>0</v>
      </c>
    </row>
    <row r="58" spans="1:28" ht="15">
      <c r="A58" s="15">
        <f t="shared" si="8"/>
        <v>45</v>
      </c>
      <c r="B58" s="15" t="s">
        <v>254</v>
      </c>
      <c r="C58" s="16">
        <v>2018</v>
      </c>
      <c r="D58" s="75" t="s">
        <v>156</v>
      </c>
      <c r="E58" s="16" t="s">
        <v>178</v>
      </c>
      <c r="F58" s="17">
        <v>109</v>
      </c>
      <c r="G58" s="75" t="s">
        <v>102</v>
      </c>
      <c r="H58" s="75" t="s">
        <v>107</v>
      </c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Yes</v>
      </c>
      <c r="J58" s="37">
        <v>28900</v>
      </c>
      <c r="K58" s="37">
        <v>28700</v>
      </c>
      <c r="L58" s="35">
        <v>0.99</v>
      </c>
      <c r="M58" s="78">
        <f t="shared" si="9"/>
        <v>29191.919191919191</v>
      </c>
      <c r="N58" s="79">
        <f t="shared" si="10"/>
        <v>0.9831487889273357</v>
      </c>
      <c r="O58" s="80">
        <f t="shared" si="0"/>
        <v>200</v>
      </c>
      <c r="P58" s="19">
        <v>2575</v>
      </c>
      <c r="Q58" s="19">
        <v>927</v>
      </c>
      <c r="R58" s="81">
        <f t="shared" si="1"/>
        <v>3502</v>
      </c>
      <c r="S58" s="82">
        <f t="shared" si="11"/>
        <v>0.44272683376497968</v>
      </c>
      <c r="T58" s="83" t="s">
        <v>166</v>
      </c>
      <c r="U58" s="83" t="s">
        <v>158</v>
      </c>
      <c r="V58" s="83" t="s">
        <v>153</v>
      </c>
      <c r="W58" s="113">
        <f t="shared" si="12"/>
        <v>91</v>
      </c>
      <c r="AA58" s="75" t="s">
        <v>103</v>
      </c>
      <c r="AB58" s="44">
        <v>0</v>
      </c>
    </row>
    <row r="59" spans="1:28" ht="15">
      <c r="A59" s="15">
        <f t="shared" si="8"/>
        <v>46</v>
      </c>
      <c r="B59" s="15" t="s">
        <v>255</v>
      </c>
      <c r="C59" s="16">
        <v>2021</v>
      </c>
      <c r="D59" s="75" t="s">
        <v>22</v>
      </c>
      <c r="E59" s="16" t="s">
        <v>256</v>
      </c>
      <c r="F59" s="17">
        <v>24</v>
      </c>
      <c r="G59" s="75" t="s">
        <v>102</v>
      </c>
      <c r="H59" s="75" t="s">
        <v>103</v>
      </c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Yes</v>
      </c>
      <c r="J59" s="37">
        <v>56981</v>
      </c>
      <c r="K59" s="37">
        <v>56981</v>
      </c>
      <c r="L59" s="35">
        <v>1</v>
      </c>
      <c r="M59" s="78">
        <f t="shared" si="9"/>
        <v>56981</v>
      </c>
      <c r="N59" s="79">
        <f t="shared" si="10"/>
        <v>1</v>
      </c>
      <c r="O59" s="80">
        <f t="shared" si="0"/>
        <v>0</v>
      </c>
      <c r="P59" s="19">
        <v>2274</v>
      </c>
      <c r="Q59" s="19">
        <v>2049</v>
      </c>
      <c r="R59" s="81">
        <f t="shared" si="1"/>
        <v>4323</v>
      </c>
      <c r="S59" s="82">
        <f t="shared" si="11"/>
        <v>1.1853144935748625</v>
      </c>
      <c r="T59" s="83" t="s">
        <v>162</v>
      </c>
      <c r="U59" s="83" t="s">
        <v>157</v>
      </c>
      <c r="V59" s="83" t="s">
        <v>153</v>
      </c>
      <c r="W59" s="113">
        <f t="shared" si="12"/>
        <v>30</v>
      </c>
      <c r="AA59" s="75" t="s">
        <v>107</v>
      </c>
      <c r="AB59" s="44">
        <v>0</v>
      </c>
    </row>
    <row r="60" spans="1:28" ht="15">
      <c r="A60" s="15">
        <f t="shared" si="8"/>
        <v>47</v>
      </c>
      <c r="B60" s="15" t="s">
        <v>257</v>
      </c>
      <c r="C60" s="16">
        <v>2019</v>
      </c>
      <c r="D60" s="75" t="s">
        <v>169</v>
      </c>
      <c r="E60" s="16" t="s">
        <v>258</v>
      </c>
      <c r="F60" s="17">
        <v>34</v>
      </c>
      <c r="G60" s="75" t="s">
        <v>102</v>
      </c>
      <c r="H60" s="75" t="s">
        <v>103</v>
      </c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No</v>
      </c>
      <c r="J60" s="37">
        <v>34491</v>
      </c>
      <c r="K60" s="37">
        <v>34491</v>
      </c>
      <c r="L60" s="35">
        <v>1.01</v>
      </c>
      <c r="M60" s="78">
        <f t="shared" si="9"/>
        <v>34149.504950495051</v>
      </c>
      <c r="N60" s="79">
        <f t="shared" si="10"/>
        <v>1.01</v>
      </c>
      <c r="O60" s="80">
        <f t="shared" si="0"/>
        <v>0</v>
      </c>
      <c r="P60" s="19">
        <v>6390</v>
      </c>
      <c r="Q60" s="19">
        <v>3832</v>
      </c>
      <c r="R60" s="81">
        <f t="shared" si="1"/>
        <v>10222</v>
      </c>
      <c r="S60" s="82">
        <f t="shared" si="11"/>
        <v>3.8515690251759933</v>
      </c>
      <c r="T60" s="83" t="s">
        <v>173</v>
      </c>
      <c r="U60" s="83" t="s">
        <v>157</v>
      </c>
      <c r="V60" s="83" t="s">
        <v>153</v>
      </c>
      <c r="W60" s="113">
        <f t="shared" si="12"/>
        <v>45</v>
      </c>
      <c r="AA60" s="75" t="s">
        <v>103</v>
      </c>
      <c r="AB60" s="44">
        <v>0</v>
      </c>
    </row>
    <row r="61" spans="1:28" ht="15">
      <c r="A61" s="15">
        <f t="shared" si="8"/>
        <v>48</v>
      </c>
      <c r="B61" s="15" t="s">
        <v>259</v>
      </c>
      <c r="C61" s="16">
        <v>2021</v>
      </c>
      <c r="D61" s="75" t="s">
        <v>22</v>
      </c>
      <c r="E61" s="16" t="s">
        <v>260</v>
      </c>
      <c r="F61" s="17">
        <v>51</v>
      </c>
      <c r="G61" s="75" t="s">
        <v>102</v>
      </c>
      <c r="H61" s="75" t="s">
        <v>103</v>
      </c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Yes</v>
      </c>
      <c r="J61" s="37">
        <v>52981</v>
      </c>
      <c r="K61" s="37">
        <v>52981</v>
      </c>
      <c r="L61" s="35">
        <v>0.98</v>
      </c>
      <c r="M61" s="78">
        <f t="shared" si="9"/>
        <v>54062.244897959186</v>
      </c>
      <c r="N61" s="79">
        <f t="shared" si="10"/>
        <v>0.98</v>
      </c>
      <c r="O61" s="80">
        <f t="shared" si="0"/>
        <v>0</v>
      </c>
      <c r="P61" s="19">
        <v>3265</v>
      </c>
      <c r="Q61" s="19">
        <v>2069</v>
      </c>
      <c r="R61" s="81">
        <f t="shared" si="1"/>
        <v>5334</v>
      </c>
      <c r="S61" s="82">
        <f t="shared" si="11"/>
        <v>0.7573369680964348</v>
      </c>
      <c r="T61" s="83" t="s">
        <v>164</v>
      </c>
      <c r="U61" s="83" t="s">
        <v>157</v>
      </c>
      <c r="V61" s="83" t="s">
        <v>153</v>
      </c>
      <c r="W61" s="113">
        <f t="shared" si="12"/>
        <v>60</v>
      </c>
      <c r="AA61" s="75" t="s">
        <v>103</v>
      </c>
      <c r="AB61" s="44">
        <v>0</v>
      </c>
    </row>
    <row r="62" spans="1:28" ht="15">
      <c r="A62" s="15">
        <f t="shared" si="8"/>
        <v>49</v>
      </c>
      <c r="B62" s="15" t="s">
        <v>261</v>
      </c>
      <c r="C62" s="16">
        <v>2020</v>
      </c>
      <c r="D62" s="75" t="s">
        <v>155</v>
      </c>
      <c r="E62" s="16" t="s">
        <v>262</v>
      </c>
      <c r="F62" s="17">
        <v>26</v>
      </c>
      <c r="G62" s="75" t="s">
        <v>111</v>
      </c>
      <c r="H62" s="75" t="s">
        <v>107</v>
      </c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Yes</v>
      </c>
      <c r="J62" s="37">
        <v>34595</v>
      </c>
      <c r="K62" s="37">
        <v>34595</v>
      </c>
      <c r="L62" s="35">
        <v>1</v>
      </c>
      <c r="M62" s="78">
        <f t="shared" si="9"/>
        <v>34595</v>
      </c>
      <c r="N62" s="79">
        <f t="shared" si="10"/>
        <v>1</v>
      </c>
      <c r="O62" s="80">
        <f t="shared" si="0"/>
        <v>0</v>
      </c>
      <c r="P62" s="19">
        <v>1823</v>
      </c>
      <c r="Q62" s="19">
        <v>2214</v>
      </c>
      <c r="R62" s="81">
        <f t="shared" si="1"/>
        <v>4037</v>
      </c>
      <c r="S62" s="82">
        <f t="shared" si="11"/>
        <v>1.7056305100977383</v>
      </c>
      <c r="T62" s="83" t="s">
        <v>161</v>
      </c>
      <c r="U62" s="83" t="s">
        <v>263</v>
      </c>
      <c r="V62" s="83" t="s">
        <v>159</v>
      </c>
      <c r="W62" s="113">
        <f t="shared" si="12"/>
        <v>30</v>
      </c>
      <c r="AA62" s="75" t="s">
        <v>107</v>
      </c>
      <c r="AB62" s="44">
        <v>0</v>
      </c>
    </row>
    <row r="63" spans="1:28" ht="15">
      <c r="A63" s="15">
        <f t="shared" si="8"/>
        <v>50</v>
      </c>
      <c r="B63" s="15" t="s">
        <v>264</v>
      </c>
      <c r="C63" s="16">
        <v>2010</v>
      </c>
      <c r="D63" s="75" t="s">
        <v>22</v>
      </c>
      <c r="E63" s="16" t="s">
        <v>224</v>
      </c>
      <c r="F63" s="17">
        <v>17</v>
      </c>
      <c r="G63" s="75" t="s">
        <v>109</v>
      </c>
      <c r="H63" s="75" t="s">
        <v>103</v>
      </c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Yes</v>
      </c>
      <c r="J63" s="37">
        <v>15995</v>
      </c>
      <c r="K63" s="37">
        <v>14498</v>
      </c>
      <c r="L63" s="35">
        <v>0.91</v>
      </c>
      <c r="M63" s="78">
        <f t="shared" si="9"/>
        <v>17576.923076923078</v>
      </c>
      <c r="N63" s="79">
        <f t="shared" si="10"/>
        <v>0.82483150984682707</v>
      </c>
      <c r="O63" s="80">
        <f t="shared" si="0"/>
        <v>1497</v>
      </c>
      <c r="P63" s="19">
        <v>4013</v>
      </c>
      <c r="Q63" s="19">
        <v>0</v>
      </c>
      <c r="R63" s="81">
        <f t="shared" si="1"/>
        <v>4013</v>
      </c>
      <c r="S63" s="82">
        <f t="shared" si="11"/>
        <v>8.1050239838424627</v>
      </c>
      <c r="T63" s="83" t="s">
        <v>160</v>
      </c>
      <c r="U63" s="83" t="s">
        <v>157</v>
      </c>
      <c r="V63" s="83" t="s">
        <v>153</v>
      </c>
      <c r="W63" s="113">
        <f t="shared" si="12"/>
        <v>30</v>
      </c>
      <c r="AA63" s="75" t="s">
        <v>103</v>
      </c>
      <c r="AB63" s="44">
        <v>0</v>
      </c>
    </row>
    <row r="64" spans="1:28" ht="15">
      <c r="A64" s="15">
        <f t="shared" si="8"/>
        <v>51</v>
      </c>
      <c r="B64" s="15" t="s">
        <v>265</v>
      </c>
      <c r="C64" s="16">
        <v>2020</v>
      </c>
      <c r="D64" s="75" t="s">
        <v>14</v>
      </c>
      <c r="E64" s="16" t="s">
        <v>266</v>
      </c>
      <c r="F64" s="17">
        <v>28</v>
      </c>
      <c r="G64" s="75" t="s">
        <v>102</v>
      </c>
      <c r="H64" s="75" t="s">
        <v>107</v>
      </c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Yes</v>
      </c>
      <c r="J64" s="37">
        <v>20495</v>
      </c>
      <c r="K64" s="37">
        <v>19500</v>
      </c>
      <c r="L64" s="35">
        <v>0.95</v>
      </c>
      <c r="M64" s="78">
        <f t="shared" si="9"/>
        <v>21573.684210526317</v>
      </c>
      <c r="N64" s="79">
        <f t="shared" si="10"/>
        <v>0.90387899487679912</v>
      </c>
      <c r="O64" s="80">
        <f t="shared" si="0"/>
        <v>995</v>
      </c>
      <c r="P64" s="19">
        <v>3343</v>
      </c>
      <c r="Q64" s="19">
        <v>642</v>
      </c>
      <c r="R64" s="81">
        <f t="shared" si="1"/>
        <v>3985</v>
      </c>
      <c r="S64" s="82">
        <f t="shared" si="11"/>
        <v>3.1711155713136279</v>
      </c>
      <c r="T64" s="83" t="s">
        <v>161</v>
      </c>
      <c r="U64" s="83" t="s">
        <v>157</v>
      </c>
      <c r="V64" s="83" t="s">
        <v>159</v>
      </c>
      <c r="W64" s="113">
        <f t="shared" si="12"/>
        <v>30</v>
      </c>
      <c r="AA64" s="75" t="s">
        <v>103</v>
      </c>
      <c r="AB64" s="44">
        <v>0</v>
      </c>
    </row>
    <row r="65" spans="1:28" ht="15">
      <c r="A65" s="15">
        <f t="shared" si="8"/>
        <v>52</v>
      </c>
      <c r="B65" s="15" t="s">
        <v>267</v>
      </c>
      <c r="C65" s="16">
        <v>2018</v>
      </c>
      <c r="D65" s="75" t="s">
        <v>22</v>
      </c>
      <c r="E65" s="16" t="s">
        <v>224</v>
      </c>
      <c r="F65" s="17">
        <v>170</v>
      </c>
      <c r="G65" s="75" t="s">
        <v>111</v>
      </c>
      <c r="H65" s="75" t="s">
        <v>107</v>
      </c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Yes</v>
      </c>
      <c r="J65" s="37">
        <v>35981</v>
      </c>
      <c r="K65" s="37">
        <v>34593</v>
      </c>
      <c r="L65" s="35">
        <v>0.96</v>
      </c>
      <c r="M65" s="78">
        <f t="shared" si="9"/>
        <v>37480.208333333336</v>
      </c>
      <c r="N65" s="79">
        <f t="shared" si="10"/>
        <v>0.9229671215363664</v>
      </c>
      <c r="O65" s="80">
        <f t="shared" si="0"/>
        <v>1388</v>
      </c>
      <c r="P65" s="19">
        <v>1458</v>
      </c>
      <c r="Q65" s="19">
        <v>2055</v>
      </c>
      <c r="R65" s="81">
        <f t="shared" si="1"/>
        <v>3513</v>
      </c>
      <c r="S65" s="82">
        <f t="shared" si="11"/>
        <v>0.22451468591057971</v>
      </c>
      <c r="T65" s="83" t="s">
        <v>173</v>
      </c>
      <c r="U65" s="83" t="s">
        <v>157</v>
      </c>
      <c r="V65" s="83" t="s">
        <v>159</v>
      </c>
      <c r="W65" s="113">
        <f t="shared" si="12"/>
        <v>91</v>
      </c>
      <c r="AA65" s="75" t="s">
        <v>103</v>
      </c>
      <c r="AB65" s="44">
        <v>0</v>
      </c>
    </row>
    <row r="66" spans="1:28" ht="15">
      <c r="A66" s="15">
        <f t="shared" si="8"/>
        <v>53</v>
      </c>
      <c r="B66" s="15" t="s">
        <v>268</v>
      </c>
      <c r="C66" s="16">
        <v>2021</v>
      </c>
      <c r="D66" s="75" t="s">
        <v>6</v>
      </c>
      <c r="E66" s="16" t="s">
        <v>269</v>
      </c>
      <c r="F66" s="17">
        <v>82</v>
      </c>
      <c r="G66" s="75" t="s">
        <v>102</v>
      </c>
      <c r="H66" s="75" t="s">
        <v>103</v>
      </c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No</v>
      </c>
      <c r="J66" s="37">
        <v>42981</v>
      </c>
      <c r="K66" s="37">
        <v>42981</v>
      </c>
      <c r="L66" s="35">
        <v>1</v>
      </c>
      <c r="M66" s="78">
        <f t="shared" si="9"/>
        <v>42981</v>
      </c>
      <c r="N66" s="79">
        <f t="shared" si="10"/>
        <v>1</v>
      </c>
      <c r="O66" s="80">
        <f t="shared" si="0"/>
        <v>0</v>
      </c>
      <c r="P66" s="19">
        <v>138</v>
      </c>
      <c r="Q66" s="19">
        <v>2053</v>
      </c>
      <c r="R66" s="81">
        <f t="shared" si="1"/>
        <v>2191</v>
      </c>
      <c r="S66" s="82">
        <f t="shared" si="11"/>
        <v>0.22451799337683875</v>
      </c>
      <c r="T66" s="83" t="s">
        <v>173</v>
      </c>
      <c r="U66" s="83" t="s">
        <v>263</v>
      </c>
      <c r="V66" s="83" t="s">
        <v>159</v>
      </c>
      <c r="W66" s="113">
        <f t="shared" si="12"/>
        <v>90</v>
      </c>
      <c r="AA66" s="75" t="s">
        <v>107</v>
      </c>
      <c r="AB66" s="44">
        <v>0</v>
      </c>
    </row>
    <row r="67" spans="1:28" ht="15">
      <c r="A67" s="15">
        <f t="shared" si="8"/>
        <v>54</v>
      </c>
      <c r="B67" s="15" t="s">
        <v>270</v>
      </c>
      <c r="C67" s="16">
        <v>2019</v>
      </c>
      <c r="D67" s="75" t="s">
        <v>22</v>
      </c>
      <c r="E67" s="16" t="s">
        <v>271</v>
      </c>
      <c r="F67" s="17">
        <v>60</v>
      </c>
      <c r="G67" s="75" t="s">
        <v>102</v>
      </c>
      <c r="H67" s="75" t="s">
        <v>107</v>
      </c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Yes</v>
      </c>
      <c r="J67" s="37">
        <v>38095</v>
      </c>
      <c r="K67" s="37">
        <v>37768</v>
      </c>
      <c r="L67" s="35">
        <v>0.99</v>
      </c>
      <c r="M67" s="78">
        <f t="shared" si="9"/>
        <v>38479.797979797979</v>
      </c>
      <c r="N67" s="79">
        <f t="shared" si="10"/>
        <v>0.98150203438771499</v>
      </c>
      <c r="O67" s="80">
        <f t="shared" si="0"/>
        <v>327</v>
      </c>
      <c r="P67" s="19">
        <v>3478</v>
      </c>
      <c r="Q67" s="19">
        <v>1548</v>
      </c>
      <c r="R67" s="81">
        <f t="shared" si="1"/>
        <v>5026</v>
      </c>
      <c r="S67" s="82">
        <f t="shared" si="11"/>
        <v>0.87944006999125113</v>
      </c>
      <c r="T67" s="83" t="s">
        <v>160</v>
      </c>
      <c r="U67" s="83" t="s">
        <v>157</v>
      </c>
      <c r="V67" s="83" t="s">
        <v>153</v>
      </c>
      <c r="W67" s="113">
        <f t="shared" si="12"/>
        <v>60</v>
      </c>
      <c r="AA67" s="75" t="s">
        <v>103</v>
      </c>
      <c r="AB67" s="44">
        <v>0</v>
      </c>
    </row>
    <row r="68" spans="1:28" ht="15">
      <c r="A68" s="15">
        <f t="shared" si="8"/>
        <v>55</v>
      </c>
      <c r="B68" s="15" t="s">
        <v>273</v>
      </c>
      <c r="C68" s="16">
        <v>2016</v>
      </c>
      <c r="D68" s="75" t="s">
        <v>42</v>
      </c>
      <c r="E68" s="16" t="s">
        <v>272</v>
      </c>
      <c r="F68" s="17">
        <v>71</v>
      </c>
      <c r="G68" s="75" t="s">
        <v>108</v>
      </c>
      <c r="H68" s="75" t="s">
        <v>103</v>
      </c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No</v>
      </c>
      <c r="J68" s="37">
        <v>38481</v>
      </c>
      <c r="K68" s="37">
        <v>38481</v>
      </c>
      <c r="L68" s="35">
        <v>0.94</v>
      </c>
      <c r="M68" s="78">
        <f t="shared" si="9"/>
        <v>40937.234042553195</v>
      </c>
      <c r="N68" s="79">
        <f t="shared" si="10"/>
        <v>0.94</v>
      </c>
      <c r="O68" s="80">
        <f t="shared" si="0"/>
        <v>0</v>
      </c>
      <c r="P68" s="19">
        <v>1590</v>
      </c>
      <c r="Q68" s="19">
        <v>2323</v>
      </c>
      <c r="R68" s="81">
        <f t="shared" si="1"/>
        <v>3913</v>
      </c>
      <c r="S68" s="82">
        <f t="shared" si="11"/>
        <v>0.53781581904208864</v>
      </c>
      <c r="T68" s="83" t="s">
        <v>160</v>
      </c>
      <c r="U68" s="83" t="s">
        <v>157</v>
      </c>
      <c r="V68" s="83" t="s">
        <v>153</v>
      </c>
      <c r="W68" s="113">
        <f t="shared" si="12"/>
        <v>90</v>
      </c>
      <c r="AA68" s="75" t="s">
        <v>103</v>
      </c>
      <c r="AB68" s="44">
        <v>0</v>
      </c>
    </row>
    <row r="69" spans="1:28" ht="15">
      <c r="A69" s="15">
        <f t="shared" si="8"/>
        <v>56</v>
      </c>
      <c r="B69" s="15" t="s">
        <v>274</v>
      </c>
      <c r="C69" s="16">
        <v>2020</v>
      </c>
      <c r="D69" s="75" t="s">
        <v>20</v>
      </c>
      <c r="E69" s="16" t="s">
        <v>235</v>
      </c>
      <c r="F69" s="17">
        <v>17</v>
      </c>
      <c r="G69" s="75" t="s">
        <v>102</v>
      </c>
      <c r="H69" s="75" t="s">
        <v>103</v>
      </c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No</v>
      </c>
      <c r="J69" s="37">
        <v>60994</v>
      </c>
      <c r="K69" s="37">
        <v>60994</v>
      </c>
      <c r="L69" s="35">
        <v>1.01</v>
      </c>
      <c r="M69" s="78">
        <f t="shared" si="9"/>
        <v>60390.099009900987</v>
      </c>
      <c r="N69" s="79">
        <f t="shared" si="10"/>
        <v>1.01</v>
      </c>
      <c r="O69" s="80">
        <f t="shared" si="0"/>
        <v>0</v>
      </c>
      <c r="P69" s="19">
        <v>5479</v>
      </c>
      <c r="Q69" s="19">
        <v>1697</v>
      </c>
      <c r="R69" s="81">
        <f t="shared" si="1"/>
        <v>7176</v>
      </c>
      <c r="S69" s="82">
        <f t="shared" si="11"/>
        <v>2.7373205969769696</v>
      </c>
      <c r="T69" s="83" t="s">
        <v>164</v>
      </c>
      <c r="U69" s="83" t="s">
        <v>157</v>
      </c>
      <c r="V69" s="83" t="s">
        <v>159</v>
      </c>
      <c r="W69" s="113">
        <f t="shared" si="12"/>
        <v>30</v>
      </c>
      <c r="AA69" s="75" t="s">
        <v>107</v>
      </c>
      <c r="AB69" s="44">
        <v>-1000</v>
      </c>
    </row>
    <row r="70" spans="1:28" ht="15">
      <c r="A70" s="15">
        <f t="shared" si="8"/>
        <v>57</v>
      </c>
      <c r="B70" s="15" t="s">
        <v>275</v>
      </c>
      <c r="C70" s="16">
        <v>2022</v>
      </c>
      <c r="D70" s="75" t="s">
        <v>16</v>
      </c>
      <c r="E70" s="16" t="s">
        <v>188</v>
      </c>
      <c r="F70" s="17">
        <v>14</v>
      </c>
      <c r="G70" s="75" t="s">
        <v>102</v>
      </c>
      <c r="H70" s="75" t="s">
        <v>107</v>
      </c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No</v>
      </c>
      <c r="J70" s="37">
        <v>39981</v>
      </c>
      <c r="K70" s="37">
        <v>39981</v>
      </c>
      <c r="L70" s="35">
        <v>0.99</v>
      </c>
      <c r="M70" s="78">
        <f t="shared" si="9"/>
        <v>40384.848484848488</v>
      </c>
      <c r="N70" s="79">
        <f t="shared" si="10"/>
        <v>0.98999999999999988</v>
      </c>
      <c r="O70" s="80">
        <f t="shared" si="0"/>
        <v>0</v>
      </c>
      <c r="P70" s="19">
        <v>2820</v>
      </c>
      <c r="Q70" s="19">
        <v>2364</v>
      </c>
      <c r="R70" s="81">
        <f t="shared" si="1"/>
        <v>5184</v>
      </c>
      <c r="S70" s="82">
        <f t="shared" si="11"/>
        <v>3.5871708819153723</v>
      </c>
      <c r="T70" s="83" t="s">
        <v>163</v>
      </c>
      <c r="U70" s="83" t="s">
        <v>157</v>
      </c>
      <c r="V70" s="83" t="s">
        <v>153</v>
      </c>
      <c r="W70" s="113">
        <f t="shared" si="12"/>
        <v>30</v>
      </c>
      <c r="AA70" s="75" t="s">
        <v>103</v>
      </c>
      <c r="AB70" s="44">
        <v>0</v>
      </c>
    </row>
    <row r="71" spans="1:28" ht="15">
      <c r="A71" s="15">
        <f t="shared" si="8"/>
        <v>58</v>
      </c>
      <c r="B71" s="15" t="s">
        <v>276</v>
      </c>
      <c r="C71" s="16">
        <v>2010</v>
      </c>
      <c r="D71" s="75" t="s">
        <v>6</v>
      </c>
      <c r="E71" s="16" t="s">
        <v>277</v>
      </c>
      <c r="F71" s="17">
        <v>15</v>
      </c>
      <c r="G71" s="75" t="s">
        <v>102</v>
      </c>
      <c r="H71" s="75" t="s">
        <v>103</v>
      </c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No</v>
      </c>
      <c r="J71" s="37">
        <v>8995</v>
      </c>
      <c r="K71" s="37">
        <v>8995</v>
      </c>
      <c r="L71" s="35">
        <v>1.02</v>
      </c>
      <c r="M71" s="78">
        <f t="shared" si="9"/>
        <v>8818.6274509803916</v>
      </c>
      <c r="N71" s="79">
        <f t="shared" si="10"/>
        <v>1.02</v>
      </c>
      <c r="O71" s="80">
        <f t="shared" si="0"/>
        <v>0</v>
      </c>
      <c r="P71" s="19">
        <v>4729</v>
      </c>
      <c r="Q71" s="19">
        <v>458</v>
      </c>
      <c r="R71" s="81">
        <f t="shared" si="1"/>
        <v>5187</v>
      </c>
      <c r="S71" s="82">
        <f t="shared" si="11"/>
        <v>29.18143459915612</v>
      </c>
      <c r="T71" s="83" t="s">
        <v>161</v>
      </c>
      <c r="U71" s="83" t="s">
        <v>157</v>
      </c>
      <c r="V71" s="83" t="s">
        <v>159</v>
      </c>
      <c r="W71" s="113">
        <f t="shared" si="12"/>
        <v>30</v>
      </c>
      <c r="AA71" s="75" t="s">
        <v>103</v>
      </c>
      <c r="AB71" s="44">
        <v>0</v>
      </c>
    </row>
    <row r="72" spans="1:28" ht="15">
      <c r="A72" s="15">
        <f t="shared" si="8"/>
        <v>59</v>
      </c>
      <c r="B72" s="15" t="s">
        <v>278</v>
      </c>
      <c r="C72" s="16">
        <v>2021</v>
      </c>
      <c r="D72" s="75" t="s">
        <v>156</v>
      </c>
      <c r="E72" s="16" t="s">
        <v>279</v>
      </c>
      <c r="F72" s="17">
        <v>14</v>
      </c>
      <c r="G72" s="75" t="s">
        <v>102</v>
      </c>
      <c r="H72" s="75" t="s">
        <v>107</v>
      </c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Yes</v>
      </c>
      <c r="J72" s="37">
        <v>37981</v>
      </c>
      <c r="K72" s="37">
        <v>37981</v>
      </c>
      <c r="L72" s="35">
        <v>1</v>
      </c>
      <c r="M72" s="78">
        <f t="shared" si="9"/>
        <v>37981</v>
      </c>
      <c r="N72" s="79">
        <f t="shared" si="10"/>
        <v>1</v>
      </c>
      <c r="O72" s="80">
        <f t="shared" si="0"/>
        <v>0</v>
      </c>
      <c r="P72" s="19">
        <v>3065</v>
      </c>
      <c r="Q72" s="19">
        <v>1801</v>
      </c>
      <c r="R72" s="81">
        <f t="shared" si="1"/>
        <v>4866</v>
      </c>
      <c r="S72" s="82">
        <f t="shared" si="11"/>
        <v>3.583621098800386</v>
      </c>
      <c r="T72" s="83" t="s">
        <v>166</v>
      </c>
      <c r="U72" s="83" t="s">
        <v>158</v>
      </c>
      <c r="V72" s="83" t="s">
        <v>153</v>
      </c>
      <c r="W72" s="113">
        <f t="shared" si="12"/>
        <v>30</v>
      </c>
      <c r="AA72" s="75" t="s">
        <v>103</v>
      </c>
      <c r="AB72" s="44">
        <v>0</v>
      </c>
    </row>
    <row r="73" spans="1:28" ht="15">
      <c r="A73" s="15">
        <f t="shared" si="8"/>
        <v>60</v>
      </c>
      <c r="B73" s="15" t="s">
        <v>280</v>
      </c>
      <c r="C73" s="16">
        <v>2022</v>
      </c>
      <c r="D73" s="75" t="s">
        <v>28</v>
      </c>
      <c r="E73" s="16" t="s">
        <v>281</v>
      </c>
      <c r="F73" s="17">
        <v>32</v>
      </c>
      <c r="G73" s="75" t="s">
        <v>102</v>
      </c>
      <c r="H73" s="75" t="s">
        <v>103</v>
      </c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No</v>
      </c>
      <c r="J73" s="37">
        <v>92995</v>
      </c>
      <c r="K73" s="37">
        <v>92995</v>
      </c>
      <c r="L73" s="35">
        <v>1.05</v>
      </c>
      <c r="M73" s="78">
        <f t="shared" si="9"/>
        <v>88566.666666666657</v>
      </c>
      <c r="N73" s="79">
        <f t="shared" si="10"/>
        <v>1.05</v>
      </c>
      <c r="O73" s="80">
        <f t="shared" si="0"/>
        <v>0</v>
      </c>
      <c r="P73" s="19">
        <v>8514</v>
      </c>
      <c r="Q73" s="19">
        <v>2984</v>
      </c>
      <c r="R73" s="81">
        <f t="shared" si="1"/>
        <v>11498</v>
      </c>
      <c r="S73" s="82">
        <f t="shared" si="11"/>
        <v>1.5311430972644735</v>
      </c>
      <c r="T73" s="83" t="s">
        <v>161</v>
      </c>
      <c r="U73" s="83" t="s">
        <v>157</v>
      </c>
      <c r="V73" s="83" t="s">
        <v>153</v>
      </c>
      <c r="W73" s="113">
        <f t="shared" si="12"/>
        <v>45</v>
      </c>
      <c r="AA73" s="75" t="s">
        <v>103</v>
      </c>
      <c r="AB73" s="44">
        <v>0</v>
      </c>
    </row>
    <row r="74" spans="1:28" ht="15">
      <c r="A74" s="15">
        <f t="shared" si="8"/>
        <v>61</v>
      </c>
      <c r="B74" s="15" t="s">
        <v>282</v>
      </c>
      <c r="C74" s="16">
        <v>2011</v>
      </c>
      <c r="D74" s="75" t="s">
        <v>23</v>
      </c>
      <c r="E74" s="16" t="s">
        <v>283</v>
      </c>
      <c r="F74" s="17">
        <v>24</v>
      </c>
      <c r="G74" s="75" t="s">
        <v>102</v>
      </c>
      <c r="H74" s="75" t="s">
        <v>103</v>
      </c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No</v>
      </c>
      <c r="J74" s="37">
        <v>14995</v>
      </c>
      <c r="K74" s="37">
        <v>14250</v>
      </c>
      <c r="L74" s="35">
        <v>0.95</v>
      </c>
      <c r="M74" s="78">
        <f t="shared" si="9"/>
        <v>15784.21052631579</v>
      </c>
      <c r="N74" s="79">
        <f t="shared" si="10"/>
        <v>0.90280093364454816</v>
      </c>
      <c r="O74" s="80">
        <f t="shared" si="0"/>
        <v>745</v>
      </c>
      <c r="P74" s="19">
        <v>3406</v>
      </c>
      <c r="Q74" s="19">
        <v>0</v>
      </c>
      <c r="R74" s="81">
        <f t="shared" si="1"/>
        <v>3406</v>
      </c>
      <c r="S74" s="82">
        <f t="shared" si="11"/>
        <v>4.7113611213574327</v>
      </c>
      <c r="T74" s="83" t="s">
        <v>166</v>
      </c>
      <c r="U74" s="83" t="s">
        <v>158</v>
      </c>
      <c r="V74" s="83" t="s">
        <v>153</v>
      </c>
      <c r="W74" s="113">
        <f t="shared" si="12"/>
        <v>30</v>
      </c>
      <c r="AA74" s="75" t="s">
        <v>103</v>
      </c>
      <c r="AB74" s="44">
        <v>0</v>
      </c>
    </row>
    <row r="75" spans="1:28" ht="15">
      <c r="A75" s="15">
        <f t="shared" si="8"/>
        <v>62</v>
      </c>
      <c r="B75" s="15" t="s">
        <v>286</v>
      </c>
      <c r="C75" s="16">
        <v>2017</v>
      </c>
      <c r="D75" s="75" t="s">
        <v>156</v>
      </c>
      <c r="E75" s="16" t="s">
        <v>214</v>
      </c>
      <c r="F75" s="17">
        <v>11</v>
      </c>
      <c r="G75" s="75" t="s">
        <v>102</v>
      </c>
      <c r="H75" s="75" t="s">
        <v>103</v>
      </c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Yes</v>
      </c>
      <c r="J75" s="37">
        <v>16981</v>
      </c>
      <c r="K75" s="37">
        <v>16981</v>
      </c>
      <c r="L75" s="35">
        <v>1</v>
      </c>
      <c r="M75" s="78">
        <f t="shared" si="9"/>
        <v>16981</v>
      </c>
      <c r="N75" s="79">
        <f t="shared" si="10"/>
        <v>1</v>
      </c>
      <c r="O75" s="80">
        <f t="shared" si="0"/>
        <v>0</v>
      </c>
      <c r="P75" s="19">
        <v>1</v>
      </c>
      <c r="Q75" s="19">
        <v>874</v>
      </c>
      <c r="R75" s="81">
        <f t="shared" si="1"/>
        <v>875</v>
      </c>
      <c r="S75" s="82">
        <f t="shared" si="11"/>
        <v>1.6864760681015096</v>
      </c>
      <c r="T75" s="83" t="s">
        <v>287</v>
      </c>
      <c r="U75" s="83" t="s">
        <v>158</v>
      </c>
      <c r="V75" s="83" t="s">
        <v>153</v>
      </c>
      <c r="W75" s="113">
        <f t="shared" si="12"/>
        <v>30</v>
      </c>
      <c r="AA75" s="75" t="s">
        <v>189</v>
      </c>
      <c r="AB75" s="44">
        <v>0</v>
      </c>
    </row>
    <row r="76" spans="1:28" ht="15">
      <c r="A76" s="15">
        <f t="shared" si="8"/>
        <v>63</v>
      </c>
      <c r="B76" s="15" t="s">
        <v>288</v>
      </c>
      <c r="C76" s="16">
        <v>2019</v>
      </c>
      <c r="D76" s="75" t="s">
        <v>22</v>
      </c>
      <c r="E76" s="16" t="s">
        <v>289</v>
      </c>
      <c r="F76" s="17">
        <v>29</v>
      </c>
      <c r="G76" s="75" t="s">
        <v>102</v>
      </c>
      <c r="H76" s="75" t="s">
        <v>253</v>
      </c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Yes</v>
      </c>
      <c r="J76" s="37">
        <v>52495</v>
      </c>
      <c r="K76" s="38">
        <v>52195</v>
      </c>
      <c r="L76" s="36">
        <v>0.99</v>
      </c>
      <c r="M76" s="78">
        <f t="shared" si="9"/>
        <v>53025.252525252523</v>
      </c>
      <c r="N76" s="79">
        <f t="shared" si="10"/>
        <v>0.98434231831603014</v>
      </c>
      <c r="O76" s="80">
        <f t="shared" si="0"/>
        <v>300</v>
      </c>
      <c r="P76" s="19">
        <v>4851</v>
      </c>
      <c r="Q76" s="19">
        <v>1884</v>
      </c>
      <c r="R76" s="81">
        <f t="shared" si="1"/>
        <v>6735</v>
      </c>
      <c r="S76" s="82">
        <f t="shared" si="11"/>
        <v>1.7659449254757549</v>
      </c>
      <c r="T76" s="83" t="s">
        <v>162</v>
      </c>
      <c r="U76" s="83" t="s">
        <v>157</v>
      </c>
      <c r="V76" s="83" t="s">
        <v>159</v>
      </c>
      <c r="W76" s="113">
        <f t="shared" si="12"/>
        <v>30</v>
      </c>
      <c r="AA76" s="75" t="s">
        <v>253</v>
      </c>
      <c r="AB76" s="44">
        <v>0</v>
      </c>
    </row>
    <row r="77" spans="1:28" ht="15">
      <c r="A77" s="15">
        <f t="shared" si="8"/>
        <v>64</v>
      </c>
      <c r="B77" s="15" t="s">
        <v>290</v>
      </c>
      <c r="C77" s="16">
        <v>2019</v>
      </c>
      <c r="D77" s="75" t="s">
        <v>198</v>
      </c>
      <c r="E77" s="16" t="s">
        <v>291</v>
      </c>
      <c r="F77" s="17">
        <v>73</v>
      </c>
      <c r="G77" s="75" t="s">
        <v>108</v>
      </c>
      <c r="H77" s="75" t="s">
        <v>103</v>
      </c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No</v>
      </c>
      <c r="J77" s="37">
        <v>23981</v>
      </c>
      <c r="K77" s="38">
        <v>23981</v>
      </c>
      <c r="L77" s="36">
        <v>1</v>
      </c>
      <c r="M77" s="78">
        <f t="shared" si="9"/>
        <v>23981</v>
      </c>
      <c r="N77" s="79">
        <f t="shared" si="10"/>
        <v>1</v>
      </c>
      <c r="O77" s="80">
        <f t="shared" ref="O77:O140" si="13">IF(K77=0,"BLANK",(J77-K77))</f>
        <v>0</v>
      </c>
      <c r="P77" s="19">
        <v>1916</v>
      </c>
      <c r="Q77" s="19">
        <v>1540</v>
      </c>
      <c r="R77" s="81">
        <f t="shared" ref="R77:R140" si="14">IF(K77=0,"BLANK",SUM(P77:Q77))</f>
        <v>3456</v>
      </c>
      <c r="S77" s="82">
        <f t="shared" si="11"/>
        <v>0.77241276552154448</v>
      </c>
      <c r="T77" s="83" t="s">
        <v>161</v>
      </c>
      <c r="U77" s="83" t="s">
        <v>284</v>
      </c>
      <c r="V77" s="83" t="s">
        <v>159</v>
      </c>
      <c r="W77" s="113">
        <f t="shared" ref="W77:W108" si="15">IF(AND(F77&gt;0,F77&lt;=30),30,IF(AND(F77&gt;=31,F77&lt;=45),45,IF(AND(F77&gt;=46,F77&lt;=60),60,IF(AND(F77&gt;=61,F77&lt;=90),90,IF(F77&gt;=91,91,0)))))</f>
        <v>90</v>
      </c>
      <c r="AA77" s="75" t="s">
        <v>189</v>
      </c>
      <c r="AB77" s="44">
        <v>0</v>
      </c>
    </row>
    <row r="78" spans="1:28" ht="15">
      <c r="A78" s="15">
        <f t="shared" si="8"/>
        <v>65</v>
      </c>
      <c r="B78" s="15" t="s">
        <v>292</v>
      </c>
      <c r="C78" s="16">
        <v>2017</v>
      </c>
      <c r="D78" s="75" t="s">
        <v>53</v>
      </c>
      <c r="E78" s="16" t="s">
        <v>230</v>
      </c>
      <c r="F78" s="17">
        <v>69</v>
      </c>
      <c r="G78" s="75" t="s">
        <v>102</v>
      </c>
      <c r="H78" s="75" t="s">
        <v>103</v>
      </c>
      <c r="I78" s="76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No</v>
      </c>
      <c r="J78" s="37">
        <v>24481</v>
      </c>
      <c r="K78" s="38">
        <v>24481</v>
      </c>
      <c r="L78" s="36">
        <v>1</v>
      </c>
      <c r="M78" s="78">
        <f t="shared" si="9"/>
        <v>24481</v>
      </c>
      <c r="N78" s="79">
        <f t="shared" si="10"/>
        <v>1</v>
      </c>
      <c r="O78" s="80">
        <f t="shared" si="13"/>
        <v>0</v>
      </c>
      <c r="P78" s="19">
        <v>2486</v>
      </c>
      <c r="Q78" s="19">
        <v>1556</v>
      </c>
      <c r="R78" s="81">
        <f t="shared" si="14"/>
        <v>4042</v>
      </c>
      <c r="S78" s="82">
        <f t="shared" si="11"/>
        <v>0.95879498304950739</v>
      </c>
      <c r="T78" s="83" t="s">
        <v>162</v>
      </c>
      <c r="U78" s="83" t="s">
        <v>284</v>
      </c>
      <c r="V78" s="83" t="s">
        <v>159</v>
      </c>
      <c r="W78" s="113">
        <f t="shared" si="15"/>
        <v>90</v>
      </c>
      <c r="AA78" s="75" t="s">
        <v>103</v>
      </c>
      <c r="AB78" s="44">
        <v>0</v>
      </c>
    </row>
    <row r="79" spans="1:28" ht="15">
      <c r="A79" s="15">
        <f t="shared" ref="A79:A142" si="16">A78+1</f>
        <v>66</v>
      </c>
      <c r="B79" s="15" t="s">
        <v>293</v>
      </c>
      <c r="C79" s="16">
        <v>2021</v>
      </c>
      <c r="D79" s="75" t="s">
        <v>22</v>
      </c>
      <c r="E79" s="16" t="s">
        <v>224</v>
      </c>
      <c r="F79" s="17">
        <v>2</v>
      </c>
      <c r="G79" s="75" t="s">
        <v>102</v>
      </c>
      <c r="H79" s="75" t="s">
        <v>107</v>
      </c>
      <c r="I79" s="76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Yes</v>
      </c>
      <c r="J79" s="37">
        <v>65500</v>
      </c>
      <c r="K79" s="38">
        <v>65500</v>
      </c>
      <c r="L79" s="36">
        <v>1</v>
      </c>
      <c r="M79" s="78">
        <f t="shared" ref="M79:M142" si="17">J79/L79</f>
        <v>65500</v>
      </c>
      <c r="N79" s="79">
        <f t="shared" ref="N79:N142" si="18">K79/M79</f>
        <v>1</v>
      </c>
      <c r="O79" s="80">
        <f t="shared" si="13"/>
        <v>0</v>
      </c>
      <c r="P79" s="19">
        <v>1</v>
      </c>
      <c r="Q79" s="19">
        <v>1000</v>
      </c>
      <c r="R79" s="81">
        <f t="shared" si="14"/>
        <v>1001</v>
      </c>
      <c r="S79" s="82">
        <f t="shared" ref="S79:S142" si="19">(R79/(K79-P79))*(360/F79)</f>
        <v>2.7508816928502724</v>
      </c>
      <c r="T79" s="83" t="s">
        <v>160</v>
      </c>
      <c r="U79" s="83" t="s">
        <v>157</v>
      </c>
      <c r="V79" s="83" t="s">
        <v>153</v>
      </c>
      <c r="W79" s="113">
        <f t="shared" si="15"/>
        <v>30</v>
      </c>
      <c r="AA79" s="75" t="s">
        <v>107</v>
      </c>
      <c r="AB79" s="44">
        <v>0</v>
      </c>
    </row>
    <row r="80" spans="1:28" ht="15">
      <c r="A80" s="15">
        <f t="shared" si="16"/>
        <v>67</v>
      </c>
      <c r="B80" s="15" t="s">
        <v>294</v>
      </c>
      <c r="C80" s="16">
        <v>2020</v>
      </c>
      <c r="D80" s="75" t="s">
        <v>42</v>
      </c>
      <c r="E80" s="16" t="s">
        <v>295</v>
      </c>
      <c r="F80" s="17">
        <v>79</v>
      </c>
      <c r="G80" s="75" t="s">
        <v>102</v>
      </c>
      <c r="H80" s="75" t="s">
        <v>103</v>
      </c>
      <c r="I80" s="76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No</v>
      </c>
      <c r="J80" s="37">
        <v>23981</v>
      </c>
      <c r="K80" s="38">
        <v>23981</v>
      </c>
      <c r="L80" s="36">
        <v>1</v>
      </c>
      <c r="M80" s="78">
        <f t="shared" si="17"/>
        <v>23981</v>
      </c>
      <c r="N80" s="79">
        <f t="shared" si="18"/>
        <v>1</v>
      </c>
      <c r="O80" s="80">
        <f t="shared" si="13"/>
        <v>0</v>
      </c>
      <c r="P80" s="19">
        <v>1757</v>
      </c>
      <c r="Q80" s="19">
        <v>213</v>
      </c>
      <c r="R80" s="81">
        <f t="shared" si="14"/>
        <v>1970</v>
      </c>
      <c r="S80" s="82">
        <f t="shared" si="19"/>
        <v>0.40394236815485146</v>
      </c>
      <c r="T80" s="83" t="s">
        <v>164</v>
      </c>
      <c r="U80" s="83" t="s">
        <v>284</v>
      </c>
      <c r="V80" s="83" t="s">
        <v>153</v>
      </c>
      <c r="W80" s="113">
        <f t="shared" si="15"/>
        <v>90</v>
      </c>
      <c r="AA80" s="75" t="s">
        <v>103</v>
      </c>
      <c r="AB80" s="44">
        <v>0</v>
      </c>
    </row>
    <row r="81" spans="1:28" ht="15">
      <c r="A81" s="15">
        <f t="shared" si="16"/>
        <v>68</v>
      </c>
      <c r="B81" s="15" t="s">
        <v>296</v>
      </c>
      <c r="C81" s="16">
        <v>2019</v>
      </c>
      <c r="D81" s="75" t="s">
        <v>42</v>
      </c>
      <c r="E81" s="16" t="s">
        <v>297</v>
      </c>
      <c r="F81" s="17">
        <v>85</v>
      </c>
      <c r="G81" s="75" t="s">
        <v>109</v>
      </c>
      <c r="H81" s="75" t="s">
        <v>103</v>
      </c>
      <c r="I81" s="76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No</v>
      </c>
      <c r="J81" s="37">
        <v>23495</v>
      </c>
      <c r="K81" s="38">
        <v>22000</v>
      </c>
      <c r="L81" s="36">
        <v>0.93</v>
      </c>
      <c r="M81" s="78">
        <f t="shared" si="17"/>
        <v>25263.440860215051</v>
      </c>
      <c r="N81" s="79">
        <f t="shared" si="18"/>
        <v>0.87082357948499689</v>
      </c>
      <c r="O81" s="80">
        <f t="shared" si="13"/>
        <v>1495</v>
      </c>
      <c r="P81" s="19">
        <v>2239</v>
      </c>
      <c r="Q81" s="19">
        <v>2119</v>
      </c>
      <c r="R81" s="81">
        <f t="shared" si="14"/>
        <v>4358</v>
      </c>
      <c r="S81" s="82">
        <f t="shared" si="19"/>
        <v>0.93403227390850074</v>
      </c>
      <c r="T81" s="83" t="s">
        <v>164</v>
      </c>
      <c r="U81" s="83" t="s">
        <v>157</v>
      </c>
      <c r="V81" s="83" t="s">
        <v>153</v>
      </c>
      <c r="W81" s="113">
        <f t="shared" si="15"/>
        <v>90</v>
      </c>
      <c r="AA81" s="75" t="s">
        <v>103</v>
      </c>
      <c r="AB81" s="44">
        <v>0</v>
      </c>
    </row>
    <row r="82" spans="1:28" ht="15">
      <c r="A82" s="15">
        <f t="shared" si="16"/>
        <v>69</v>
      </c>
      <c r="B82" s="15" t="s">
        <v>298</v>
      </c>
      <c r="C82" s="16">
        <v>2022</v>
      </c>
      <c r="D82" s="75" t="s">
        <v>28</v>
      </c>
      <c r="E82" s="16" t="s">
        <v>239</v>
      </c>
      <c r="F82" s="17">
        <v>57</v>
      </c>
      <c r="G82" s="75" t="s">
        <v>102</v>
      </c>
      <c r="H82" s="75" t="s">
        <v>103</v>
      </c>
      <c r="I82" s="76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No</v>
      </c>
      <c r="J82" s="37">
        <v>41981</v>
      </c>
      <c r="K82" s="38">
        <v>41981</v>
      </c>
      <c r="L82" s="36">
        <v>1</v>
      </c>
      <c r="M82" s="78">
        <f t="shared" si="17"/>
        <v>41981</v>
      </c>
      <c r="N82" s="79">
        <f t="shared" si="18"/>
        <v>1</v>
      </c>
      <c r="O82" s="80">
        <f t="shared" si="13"/>
        <v>0</v>
      </c>
      <c r="P82" s="19">
        <v>2644</v>
      </c>
      <c r="Q82" s="19">
        <v>2430</v>
      </c>
      <c r="R82" s="81">
        <f t="shared" si="14"/>
        <v>5074</v>
      </c>
      <c r="S82" s="82">
        <f t="shared" si="19"/>
        <v>0.81466089914008899</v>
      </c>
      <c r="T82" s="83" t="s">
        <v>285</v>
      </c>
      <c r="U82" s="83" t="s">
        <v>158</v>
      </c>
      <c r="V82" s="83" t="s">
        <v>159</v>
      </c>
      <c r="W82" s="113">
        <f t="shared" si="15"/>
        <v>60</v>
      </c>
      <c r="AA82" s="75" t="s">
        <v>103</v>
      </c>
      <c r="AB82" s="44">
        <v>0</v>
      </c>
    </row>
    <row r="83" spans="1:28" ht="15">
      <c r="A83" s="15">
        <f t="shared" si="16"/>
        <v>70</v>
      </c>
      <c r="B83" s="15" t="s">
        <v>299</v>
      </c>
      <c r="C83" s="16">
        <v>2021</v>
      </c>
      <c r="D83" s="75" t="s">
        <v>17</v>
      </c>
      <c r="E83" s="16" t="s">
        <v>300</v>
      </c>
      <c r="F83" s="17">
        <v>69</v>
      </c>
      <c r="G83" s="75" t="s">
        <v>108</v>
      </c>
      <c r="H83" s="75" t="s">
        <v>103</v>
      </c>
      <c r="I83" s="76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No</v>
      </c>
      <c r="J83" s="37">
        <v>27995</v>
      </c>
      <c r="K83" s="38">
        <v>27995</v>
      </c>
      <c r="L83" s="36">
        <v>1</v>
      </c>
      <c r="M83" s="78">
        <f t="shared" si="17"/>
        <v>27995</v>
      </c>
      <c r="N83" s="79">
        <f t="shared" si="18"/>
        <v>1</v>
      </c>
      <c r="O83" s="80">
        <f t="shared" si="13"/>
        <v>0</v>
      </c>
      <c r="P83" s="19">
        <v>3391</v>
      </c>
      <c r="Q83" s="19">
        <v>1265</v>
      </c>
      <c r="R83" s="81">
        <f t="shared" si="14"/>
        <v>4656</v>
      </c>
      <c r="S83" s="82">
        <f t="shared" si="19"/>
        <v>0.98732620358655021</v>
      </c>
      <c r="T83" s="83" t="s">
        <v>323</v>
      </c>
      <c r="U83" s="83" t="s">
        <v>158</v>
      </c>
      <c r="V83" s="83" t="s">
        <v>153</v>
      </c>
      <c r="W83" s="113">
        <f t="shared" si="15"/>
        <v>90</v>
      </c>
      <c r="AA83" s="75" t="s">
        <v>103</v>
      </c>
      <c r="AB83" s="44">
        <v>-1000</v>
      </c>
    </row>
    <row r="84" spans="1:28" ht="15">
      <c r="A84" s="15">
        <f t="shared" si="16"/>
        <v>71</v>
      </c>
      <c r="B84" s="15" t="s">
        <v>301</v>
      </c>
      <c r="C84" s="16">
        <v>2022</v>
      </c>
      <c r="D84" s="75" t="s">
        <v>22</v>
      </c>
      <c r="E84" s="16" t="s">
        <v>260</v>
      </c>
      <c r="F84" s="17">
        <v>15</v>
      </c>
      <c r="G84" s="75" t="s">
        <v>102</v>
      </c>
      <c r="H84" s="75" t="s">
        <v>107</v>
      </c>
      <c r="I84" s="76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Yes</v>
      </c>
      <c r="J84" s="37">
        <v>71991</v>
      </c>
      <c r="K84" s="37">
        <v>71991</v>
      </c>
      <c r="L84" s="35">
        <v>1</v>
      </c>
      <c r="M84" s="78">
        <f t="shared" si="17"/>
        <v>71991</v>
      </c>
      <c r="N84" s="79">
        <f t="shared" si="18"/>
        <v>1</v>
      </c>
      <c r="O84" s="80">
        <f t="shared" si="13"/>
        <v>0</v>
      </c>
      <c r="P84" s="19">
        <v>7423</v>
      </c>
      <c r="Q84" s="19">
        <v>4645</v>
      </c>
      <c r="R84" s="81">
        <f t="shared" si="14"/>
        <v>12068</v>
      </c>
      <c r="S84" s="82">
        <f t="shared" si="19"/>
        <v>4.4856895056374668</v>
      </c>
      <c r="T84" s="83" t="s">
        <v>161</v>
      </c>
      <c r="U84" s="83" t="s">
        <v>284</v>
      </c>
      <c r="V84" s="83" t="s">
        <v>159</v>
      </c>
      <c r="W84" s="113">
        <f t="shared" si="15"/>
        <v>30</v>
      </c>
      <c r="AA84" s="75" t="s">
        <v>107</v>
      </c>
      <c r="AB84" s="44">
        <v>-3000</v>
      </c>
    </row>
    <row r="85" spans="1:28" ht="15">
      <c r="A85" s="15">
        <f t="shared" si="16"/>
        <v>72</v>
      </c>
      <c r="B85" s="15" t="s">
        <v>302</v>
      </c>
      <c r="C85" s="16">
        <v>2021</v>
      </c>
      <c r="D85" s="75" t="s">
        <v>22</v>
      </c>
      <c r="E85" s="16" t="s">
        <v>224</v>
      </c>
      <c r="F85" s="17">
        <v>79</v>
      </c>
      <c r="G85" s="75" t="s">
        <v>108</v>
      </c>
      <c r="H85" s="75" t="s">
        <v>107</v>
      </c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Yes</v>
      </c>
      <c r="J85" s="37">
        <v>70841</v>
      </c>
      <c r="K85" s="38">
        <v>70841</v>
      </c>
      <c r="L85" s="36">
        <v>1</v>
      </c>
      <c r="M85" s="78">
        <f t="shared" si="17"/>
        <v>70841</v>
      </c>
      <c r="N85" s="79">
        <f t="shared" si="18"/>
        <v>1</v>
      </c>
      <c r="O85" s="80">
        <f t="shared" si="13"/>
        <v>0</v>
      </c>
      <c r="P85" s="19">
        <v>4138</v>
      </c>
      <c r="Q85" s="19">
        <v>2902</v>
      </c>
      <c r="R85" s="81">
        <f t="shared" si="14"/>
        <v>7040</v>
      </c>
      <c r="S85" s="82">
        <f t="shared" si="19"/>
        <v>0.48095307045002245</v>
      </c>
      <c r="T85" s="83" t="s">
        <v>163</v>
      </c>
      <c r="U85" s="83" t="s">
        <v>284</v>
      </c>
      <c r="V85" s="83" t="s">
        <v>153</v>
      </c>
      <c r="W85" s="113">
        <f t="shared" si="15"/>
        <v>90</v>
      </c>
      <c r="AA85" s="75" t="s">
        <v>107</v>
      </c>
      <c r="AB85" s="44">
        <v>-1000</v>
      </c>
    </row>
    <row r="86" spans="1:28" ht="15">
      <c r="A86" s="15">
        <f t="shared" si="16"/>
        <v>73</v>
      </c>
      <c r="B86" s="15" t="s">
        <v>303</v>
      </c>
      <c r="C86" s="16">
        <v>2018</v>
      </c>
      <c r="D86" s="75" t="s">
        <v>16</v>
      </c>
      <c r="E86" s="16" t="s">
        <v>304</v>
      </c>
      <c r="F86" s="17">
        <v>10</v>
      </c>
      <c r="G86" s="75" t="s">
        <v>102</v>
      </c>
      <c r="H86" s="75" t="s">
        <v>107</v>
      </c>
      <c r="I86" s="76"/>
      <c r="J86" s="37">
        <v>17481</v>
      </c>
      <c r="K86" s="38">
        <v>17481</v>
      </c>
      <c r="L86" s="36">
        <v>1</v>
      </c>
      <c r="M86" s="78">
        <f t="shared" si="17"/>
        <v>17481</v>
      </c>
      <c r="N86" s="79">
        <f t="shared" si="18"/>
        <v>1</v>
      </c>
      <c r="O86" s="80">
        <f t="shared" si="13"/>
        <v>0</v>
      </c>
      <c r="P86" s="19">
        <v>4344</v>
      </c>
      <c r="Q86" s="19">
        <v>976</v>
      </c>
      <c r="R86" s="81">
        <f t="shared" si="14"/>
        <v>5320</v>
      </c>
      <c r="S86" s="82">
        <f t="shared" si="19"/>
        <v>14.578670929435944</v>
      </c>
      <c r="T86" s="83" t="s">
        <v>163</v>
      </c>
      <c r="U86" s="83" t="s">
        <v>284</v>
      </c>
      <c r="V86" s="83" t="s">
        <v>153</v>
      </c>
      <c r="W86" s="113">
        <f t="shared" si="15"/>
        <v>30</v>
      </c>
      <c r="AA86" s="75" t="s">
        <v>103</v>
      </c>
      <c r="AB86" s="44">
        <v>0</v>
      </c>
    </row>
    <row r="87" spans="1:28" ht="15">
      <c r="A87" s="15">
        <f t="shared" si="16"/>
        <v>74</v>
      </c>
      <c r="B87" s="15" t="s">
        <v>305</v>
      </c>
      <c r="C87" s="16">
        <v>2013</v>
      </c>
      <c r="D87" s="75" t="s">
        <v>14</v>
      </c>
      <c r="E87" s="16" t="s">
        <v>306</v>
      </c>
      <c r="F87" s="17">
        <v>14</v>
      </c>
      <c r="G87" s="75" t="s">
        <v>102</v>
      </c>
      <c r="H87" s="75" t="s">
        <v>103</v>
      </c>
      <c r="I87" s="76"/>
      <c r="J87" s="37">
        <v>13981</v>
      </c>
      <c r="K87" s="38">
        <v>13981</v>
      </c>
      <c r="L87" s="36">
        <v>1</v>
      </c>
      <c r="M87" s="78">
        <f t="shared" si="17"/>
        <v>13981</v>
      </c>
      <c r="N87" s="79">
        <f t="shared" si="18"/>
        <v>1</v>
      </c>
      <c r="O87" s="80">
        <f t="shared" si="13"/>
        <v>0</v>
      </c>
      <c r="P87" s="19">
        <v>3768</v>
      </c>
      <c r="Q87" s="19">
        <v>0</v>
      </c>
      <c r="R87" s="81">
        <f t="shared" si="14"/>
        <v>3768</v>
      </c>
      <c r="S87" s="82">
        <f t="shared" si="19"/>
        <v>9.4870683023037863</v>
      </c>
      <c r="T87" s="83" t="s">
        <v>160</v>
      </c>
      <c r="U87" s="83" t="s">
        <v>284</v>
      </c>
      <c r="V87" s="83" t="s">
        <v>153</v>
      </c>
      <c r="W87" s="113">
        <f t="shared" si="15"/>
        <v>30</v>
      </c>
      <c r="AA87" s="75" t="s">
        <v>107</v>
      </c>
      <c r="AB87" s="44">
        <v>0</v>
      </c>
    </row>
    <row r="88" spans="1:28" ht="15">
      <c r="A88" s="15">
        <f t="shared" si="16"/>
        <v>75</v>
      </c>
      <c r="B88" s="15" t="s">
        <v>307</v>
      </c>
      <c r="C88" s="16">
        <v>2019</v>
      </c>
      <c r="D88" s="75" t="s">
        <v>20</v>
      </c>
      <c r="E88" s="16" t="s">
        <v>308</v>
      </c>
      <c r="F88" s="17">
        <v>200</v>
      </c>
      <c r="G88" s="75" t="s">
        <v>102</v>
      </c>
      <c r="H88" s="75" t="s">
        <v>103</v>
      </c>
      <c r="I88" s="76"/>
      <c r="J88" s="37">
        <v>29981</v>
      </c>
      <c r="K88" s="37">
        <v>29981</v>
      </c>
      <c r="L88" s="35">
        <v>0.94</v>
      </c>
      <c r="M88" s="78">
        <f t="shared" si="17"/>
        <v>31894.680851063833</v>
      </c>
      <c r="N88" s="79">
        <f t="shared" si="18"/>
        <v>0.94</v>
      </c>
      <c r="O88" s="80">
        <f t="shared" si="13"/>
        <v>0</v>
      </c>
      <c r="P88" s="19">
        <v>1406</v>
      </c>
      <c r="Q88" s="19">
        <v>1535</v>
      </c>
      <c r="R88" s="81">
        <f t="shared" si="14"/>
        <v>2941</v>
      </c>
      <c r="S88" s="82">
        <f t="shared" si="19"/>
        <v>0.18525984251968503</v>
      </c>
      <c r="T88" s="83" t="s">
        <v>164</v>
      </c>
      <c r="U88" s="83" t="s">
        <v>157</v>
      </c>
      <c r="V88" s="83" t="s">
        <v>159</v>
      </c>
      <c r="W88" s="113">
        <f t="shared" si="15"/>
        <v>91</v>
      </c>
      <c r="AA88" s="75" t="s">
        <v>107</v>
      </c>
      <c r="AB88" s="44">
        <v>0</v>
      </c>
    </row>
    <row r="89" spans="1:28" ht="15">
      <c r="A89" s="15">
        <f t="shared" si="16"/>
        <v>76</v>
      </c>
      <c r="B89" s="15" t="s">
        <v>309</v>
      </c>
      <c r="C89" s="16">
        <v>2021</v>
      </c>
      <c r="D89" s="75" t="s">
        <v>16</v>
      </c>
      <c r="E89" s="16" t="s">
        <v>188</v>
      </c>
      <c r="F89" s="17">
        <v>84</v>
      </c>
      <c r="G89" s="75" t="s">
        <v>102</v>
      </c>
      <c r="H89" s="75" t="s">
        <v>107</v>
      </c>
      <c r="I89" s="76"/>
      <c r="J89" s="37">
        <v>48295</v>
      </c>
      <c r="K89" s="38">
        <v>48295</v>
      </c>
      <c r="L89" s="36">
        <v>0.99</v>
      </c>
      <c r="M89" s="78">
        <f t="shared" si="17"/>
        <v>48782.828282828283</v>
      </c>
      <c r="N89" s="79">
        <f t="shared" si="18"/>
        <v>0.99</v>
      </c>
      <c r="O89" s="80">
        <f t="shared" si="13"/>
        <v>0</v>
      </c>
      <c r="P89" s="19">
        <v>3087</v>
      </c>
      <c r="Q89" s="19">
        <v>2664</v>
      </c>
      <c r="R89" s="81">
        <f t="shared" si="14"/>
        <v>5751</v>
      </c>
      <c r="S89" s="82">
        <f t="shared" si="19"/>
        <v>0.54519427661349451</v>
      </c>
      <c r="T89" s="83" t="s">
        <v>164</v>
      </c>
      <c r="U89" s="83" t="s">
        <v>284</v>
      </c>
      <c r="V89" s="83" t="s">
        <v>153</v>
      </c>
      <c r="W89" s="113">
        <f t="shared" si="15"/>
        <v>90</v>
      </c>
      <c r="AA89" s="75" t="s">
        <v>107</v>
      </c>
      <c r="AB89" s="44">
        <v>0</v>
      </c>
    </row>
    <row r="90" spans="1:28" ht="15">
      <c r="A90" s="15">
        <f t="shared" si="16"/>
        <v>77</v>
      </c>
      <c r="B90" s="15" t="s">
        <v>310</v>
      </c>
      <c r="C90" s="16">
        <v>2021</v>
      </c>
      <c r="D90" s="75" t="s">
        <v>22</v>
      </c>
      <c r="E90" s="16" t="s">
        <v>260</v>
      </c>
      <c r="F90" s="17">
        <v>51</v>
      </c>
      <c r="G90" s="75" t="s">
        <v>102</v>
      </c>
      <c r="H90" s="75" t="s">
        <v>107</v>
      </c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Yes</v>
      </c>
      <c r="J90" s="37">
        <v>54995</v>
      </c>
      <c r="K90" s="38">
        <v>54995</v>
      </c>
      <c r="L90" s="36">
        <v>1</v>
      </c>
      <c r="M90" s="78">
        <f t="shared" si="17"/>
        <v>54995</v>
      </c>
      <c r="N90" s="79">
        <f t="shared" si="18"/>
        <v>1</v>
      </c>
      <c r="O90" s="80">
        <f t="shared" si="13"/>
        <v>0</v>
      </c>
      <c r="P90" s="19">
        <v>4727</v>
      </c>
      <c r="Q90" s="19">
        <v>3601</v>
      </c>
      <c r="R90" s="81">
        <f t="shared" si="14"/>
        <v>8328</v>
      </c>
      <c r="S90" s="82">
        <f t="shared" si="19"/>
        <v>1.1694493982840211</v>
      </c>
      <c r="T90" s="83" t="s">
        <v>162</v>
      </c>
      <c r="U90" s="83" t="s">
        <v>284</v>
      </c>
      <c r="V90" s="83" t="s">
        <v>159</v>
      </c>
      <c r="W90" s="113">
        <f t="shared" si="15"/>
        <v>60</v>
      </c>
      <c r="AA90" s="75" t="s">
        <v>103</v>
      </c>
      <c r="AB90" s="44">
        <v>0</v>
      </c>
    </row>
    <row r="91" spans="1:28" ht="15">
      <c r="A91" s="15">
        <f t="shared" si="16"/>
        <v>78</v>
      </c>
      <c r="B91" s="15" t="s">
        <v>311</v>
      </c>
      <c r="C91" s="16">
        <v>2012</v>
      </c>
      <c r="D91" s="75" t="s">
        <v>23</v>
      </c>
      <c r="E91" s="16" t="s">
        <v>312</v>
      </c>
      <c r="F91" s="17">
        <v>59</v>
      </c>
      <c r="G91" s="75" t="s">
        <v>102</v>
      </c>
      <c r="H91" s="75" t="s">
        <v>103</v>
      </c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No</v>
      </c>
      <c r="J91" s="37">
        <v>13795</v>
      </c>
      <c r="K91" s="37">
        <v>13371</v>
      </c>
      <c r="L91" s="35">
        <v>0.98</v>
      </c>
      <c r="M91" s="78">
        <f t="shared" si="17"/>
        <v>14076.530612244898</v>
      </c>
      <c r="N91" s="79">
        <f t="shared" si="18"/>
        <v>0.94987894164552367</v>
      </c>
      <c r="O91" s="80">
        <f t="shared" si="13"/>
        <v>424</v>
      </c>
      <c r="P91" s="19">
        <v>2519</v>
      </c>
      <c r="Q91" s="19">
        <v>0</v>
      </c>
      <c r="R91" s="81">
        <f t="shared" si="14"/>
        <v>2519</v>
      </c>
      <c r="S91" s="82">
        <f t="shared" si="19"/>
        <v>1.4163444057800796</v>
      </c>
      <c r="T91" s="83" t="s">
        <v>165</v>
      </c>
      <c r="U91" s="83" t="s">
        <v>158</v>
      </c>
      <c r="V91" s="83" t="s">
        <v>159</v>
      </c>
      <c r="W91" s="113">
        <f t="shared" si="15"/>
        <v>60</v>
      </c>
      <c r="AA91" s="75" t="s">
        <v>103</v>
      </c>
      <c r="AB91" s="44">
        <v>0</v>
      </c>
    </row>
    <row r="92" spans="1:28" ht="15">
      <c r="A92" s="15">
        <f t="shared" si="16"/>
        <v>79</v>
      </c>
      <c r="B92" s="15" t="s">
        <v>313</v>
      </c>
      <c r="C92" s="16">
        <v>2017</v>
      </c>
      <c r="D92" s="75" t="s">
        <v>22</v>
      </c>
      <c r="E92" s="16" t="s">
        <v>314</v>
      </c>
      <c r="F92" s="17">
        <v>21</v>
      </c>
      <c r="G92" s="75" t="s">
        <v>102</v>
      </c>
      <c r="H92" s="75" t="s">
        <v>103</v>
      </c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Yes</v>
      </c>
      <c r="J92" s="37">
        <v>36981</v>
      </c>
      <c r="K92" s="37">
        <v>36581</v>
      </c>
      <c r="L92" s="35">
        <v>0.99</v>
      </c>
      <c r="M92" s="78">
        <f t="shared" si="17"/>
        <v>37354.545454545456</v>
      </c>
      <c r="N92" s="79">
        <f t="shared" si="18"/>
        <v>0.97929179849111703</v>
      </c>
      <c r="O92" s="80">
        <f t="shared" si="13"/>
        <v>400</v>
      </c>
      <c r="P92" s="19">
        <v>4918</v>
      </c>
      <c r="Q92" s="19">
        <v>318</v>
      </c>
      <c r="R92" s="81">
        <f t="shared" si="14"/>
        <v>5236</v>
      </c>
      <c r="S92" s="82">
        <f t="shared" si="19"/>
        <v>2.8348545621071914</v>
      </c>
      <c r="T92" s="83" t="s">
        <v>164</v>
      </c>
      <c r="U92" s="83" t="s">
        <v>284</v>
      </c>
      <c r="V92" s="83" t="s">
        <v>159</v>
      </c>
      <c r="W92" s="113">
        <f t="shared" si="15"/>
        <v>30</v>
      </c>
      <c r="AA92" s="75" t="s">
        <v>103</v>
      </c>
      <c r="AB92" s="44">
        <v>0</v>
      </c>
    </row>
    <row r="93" spans="1:28" ht="15">
      <c r="A93" s="15">
        <f t="shared" si="16"/>
        <v>80</v>
      </c>
      <c r="B93" s="15" t="s">
        <v>315</v>
      </c>
      <c r="C93" s="16">
        <v>2017</v>
      </c>
      <c r="D93" s="75" t="s">
        <v>16</v>
      </c>
      <c r="E93" s="16" t="s">
        <v>188</v>
      </c>
      <c r="F93" s="17">
        <v>19</v>
      </c>
      <c r="G93" s="75" t="s">
        <v>102</v>
      </c>
      <c r="H93" s="75" t="s">
        <v>103</v>
      </c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No</v>
      </c>
      <c r="J93" s="37">
        <v>37981</v>
      </c>
      <c r="K93" s="37">
        <v>37981</v>
      </c>
      <c r="L93" s="35">
        <v>1</v>
      </c>
      <c r="M93" s="78">
        <f t="shared" si="17"/>
        <v>37981</v>
      </c>
      <c r="N93" s="79">
        <f t="shared" si="18"/>
        <v>1</v>
      </c>
      <c r="O93" s="80">
        <f t="shared" si="13"/>
        <v>0</v>
      </c>
      <c r="P93" s="19">
        <v>3997</v>
      </c>
      <c r="Q93" s="19">
        <v>858</v>
      </c>
      <c r="R93" s="81">
        <f t="shared" si="14"/>
        <v>4855</v>
      </c>
      <c r="S93" s="82">
        <f t="shared" si="19"/>
        <v>2.7068465655664586</v>
      </c>
      <c r="T93" s="83" t="s">
        <v>160</v>
      </c>
      <c r="U93" s="83" t="s">
        <v>284</v>
      </c>
      <c r="V93" s="83" t="s">
        <v>159</v>
      </c>
      <c r="W93" s="113">
        <f t="shared" si="15"/>
        <v>30</v>
      </c>
      <c r="AA93" s="75" t="s">
        <v>103</v>
      </c>
      <c r="AB93" s="44">
        <v>0</v>
      </c>
    </row>
    <row r="94" spans="1:28" ht="15">
      <c r="A94" s="15">
        <f t="shared" si="16"/>
        <v>81</v>
      </c>
      <c r="B94" s="15" t="s">
        <v>316</v>
      </c>
      <c r="C94" s="16">
        <v>2021</v>
      </c>
      <c r="D94" s="75" t="s">
        <v>22</v>
      </c>
      <c r="E94" s="16" t="s">
        <v>314</v>
      </c>
      <c r="F94" s="17">
        <v>59</v>
      </c>
      <c r="G94" s="75" t="s">
        <v>102</v>
      </c>
      <c r="H94" s="75" t="s">
        <v>107</v>
      </c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Yes</v>
      </c>
      <c r="J94" s="37">
        <v>59995</v>
      </c>
      <c r="K94" s="38">
        <v>59995</v>
      </c>
      <c r="L94" s="35">
        <v>1.01</v>
      </c>
      <c r="M94" s="78">
        <f>J94/L94</f>
        <v>59400.990099009898</v>
      </c>
      <c r="N94" s="79">
        <f t="shared" si="18"/>
        <v>1.01</v>
      </c>
      <c r="O94" s="80">
        <f t="shared" si="13"/>
        <v>0</v>
      </c>
      <c r="P94" s="19">
        <v>2140</v>
      </c>
      <c r="Q94" s="19">
        <v>1519</v>
      </c>
      <c r="R94" s="81">
        <f t="shared" si="14"/>
        <v>3659</v>
      </c>
      <c r="S94" s="82">
        <f t="shared" si="19"/>
        <v>0.38589753167254776</v>
      </c>
      <c r="T94" s="83" t="s">
        <v>160</v>
      </c>
      <c r="U94" s="83" t="s">
        <v>157</v>
      </c>
      <c r="V94" s="83" t="s">
        <v>153</v>
      </c>
      <c r="W94" s="113">
        <f t="shared" si="15"/>
        <v>60</v>
      </c>
      <c r="AA94" s="75" t="s">
        <v>107</v>
      </c>
      <c r="AB94" s="44">
        <v>1500</v>
      </c>
    </row>
    <row r="95" spans="1:28" ht="15">
      <c r="A95" s="15">
        <f t="shared" si="16"/>
        <v>82</v>
      </c>
      <c r="B95" s="15" t="s">
        <v>317</v>
      </c>
      <c r="C95" s="16">
        <v>2020</v>
      </c>
      <c r="D95" s="75" t="s">
        <v>22</v>
      </c>
      <c r="E95" s="16" t="s">
        <v>271</v>
      </c>
      <c r="F95" s="17">
        <v>30</v>
      </c>
      <c r="G95" s="75" t="s">
        <v>102</v>
      </c>
      <c r="H95" s="75" t="s">
        <v>107</v>
      </c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Yes</v>
      </c>
      <c r="J95" s="37">
        <v>33481</v>
      </c>
      <c r="K95" s="37">
        <v>33481</v>
      </c>
      <c r="L95" s="115">
        <v>1.01</v>
      </c>
      <c r="M95" s="78">
        <f>J95/L94</f>
        <v>33149.504950495051</v>
      </c>
      <c r="N95" s="79">
        <f t="shared" si="18"/>
        <v>1.01</v>
      </c>
      <c r="O95" s="80">
        <f t="shared" si="13"/>
        <v>0</v>
      </c>
      <c r="P95" s="19">
        <v>2711</v>
      </c>
      <c r="Q95" s="19">
        <v>2331</v>
      </c>
      <c r="R95" s="81">
        <f t="shared" si="14"/>
        <v>5042</v>
      </c>
      <c r="S95" s="82">
        <f t="shared" si="19"/>
        <v>1.9663308417289567</v>
      </c>
      <c r="T95" s="83" t="s">
        <v>160</v>
      </c>
      <c r="U95" s="83" t="s">
        <v>284</v>
      </c>
      <c r="V95" s="83" t="s">
        <v>153</v>
      </c>
      <c r="W95" s="113">
        <f t="shared" si="15"/>
        <v>30</v>
      </c>
      <c r="AA95" s="75" t="s">
        <v>103</v>
      </c>
      <c r="AB95" s="44">
        <v>0</v>
      </c>
    </row>
    <row r="96" spans="1:28" ht="15">
      <c r="A96" s="15">
        <f t="shared" si="16"/>
        <v>83</v>
      </c>
      <c r="B96" s="15" t="s">
        <v>318</v>
      </c>
      <c r="C96" s="16">
        <v>2018</v>
      </c>
      <c r="D96" s="75" t="s">
        <v>28</v>
      </c>
      <c r="E96" s="16" t="s">
        <v>319</v>
      </c>
      <c r="F96" s="17">
        <v>40</v>
      </c>
      <c r="G96" s="75" t="s">
        <v>102</v>
      </c>
      <c r="H96" s="75" t="s">
        <v>103</v>
      </c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No</v>
      </c>
      <c r="J96" s="37">
        <v>52981</v>
      </c>
      <c r="K96" s="38">
        <v>52981</v>
      </c>
      <c r="L96" s="36">
        <v>0.98</v>
      </c>
      <c r="M96" s="78">
        <f t="shared" si="17"/>
        <v>54062.244897959186</v>
      </c>
      <c r="N96" s="79">
        <f t="shared" si="18"/>
        <v>0.98</v>
      </c>
      <c r="O96" s="80">
        <f t="shared" si="13"/>
        <v>0</v>
      </c>
      <c r="P96" s="19">
        <v>6269</v>
      </c>
      <c r="Q96" s="19">
        <v>2686</v>
      </c>
      <c r="R96" s="81">
        <f t="shared" si="14"/>
        <v>8955</v>
      </c>
      <c r="S96" s="82">
        <f t="shared" si="19"/>
        <v>1.725359650625107</v>
      </c>
      <c r="T96" s="83" t="s">
        <v>166</v>
      </c>
      <c r="U96" s="83" t="s">
        <v>158</v>
      </c>
      <c r="V96" s="83" t="s">
        <v>159</v>
      </c>
      <c r="W96" s="113">
        <f t="shared" si="15"/>
        <v>45</v>
      </c>
      <c r="AA96" s="75" t="s">
        <v>107</v>
      </c>
      <c r="AB96" s="44">
        <v>-1000</v>
      </c>
    </row>
    <row r="97" spans="1:28" ht="15">
      <c r="A97" s="15">
        <f t="shared" si="16"/>
        <v>84</v>
      </c>
      <c r="B97" s="15" t="s">
        <v>320</v>
      </c>
      <c r="C97" s="16">
        <v>2018</v>
      </c>
      <c r="D97" s="75" t="s">
        <v>22</v>
      </c>
      <c r="E97" s="16" t="s">
        <v>314</v>
      </c>
      <c r="F97" s="17">
        <v>36</v>
      </c>
      <c r="G97" s="75" t="s">
        <v>102</v>
      </c>
      <c r="H97" s="75" t="s">
        <v>103</v>
      </c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Yes</v>
      </c>
      <c r="J97" s="37">
        <v>41295</v>
      </c>
      <c r="K97" s="38">
        <v>41295</v>
      </c>
      <c r="L97" s="36">
        <v>0.97</v>
      </c>
      <c r="M97" s="78">
        <f t="shared" si="17"/>
        <v>42572.16494845361</v>
      </c>
      <c r="N97" s="79">
        <f t="shared" si="18"/>
        <v>0.97</v>
      </c>
      <c r="O97" s="80">
        <f t="shared" si="13"/>
        <v>0</v>
      </c>
      <c r="P97" s="19">
        <v>5755</v>
      </c>
      <c r="Q97" s="19">
        <v>3168</v>
      </c>
      <c r="R97" s="81">
        <f t="shared" si="14"/>
        <v>8923</v>
      </c>
      <c r="S97" s="82">
        <f t="shared" si="19"/>
        <v>2.5106921778277997</v>
      </c>
      <c r="T97" s="83" t="s">
        <v>164</v>
      </c>
      <c r="U97" s="83" t="s">
        <v>157</v>
      </c>
      <c r="V97" s="83" t="s">
        <v>153</v>
      </c>
      <c r="W97" s="113">
        <f t="shared" si="15"/>
        <v>45</v>
      </c>
      <c r="AA97" s="75" t="s">
        <v>107</v>
      </c>
      <c r="AB97" s="44">
        <v>0</v>
      </c>
    </row>
    <row r="98" spans="1:28" ht="15">
      <c r="A98" s="15">
        <f t="shared" si="16"/>
        <v>85</v>
      </c>
      <c r="B98" s="15" t="s">
        <v>321</v>
      </c>
      <c r="C98" s="16">
        <v>2022</v>
      </c>
      <c r="D98" s="75" t="s">
        <v>20</v>
      </c>
      <c r="E98" s="16" t="s">
        <v>235</v>
      </c>
      <c r="F98" s="17">
        <v>34</v>
      </c>
      <c r="G98" s="75" t="s">
        <v>102</v>
      </c>
      <c r="H98" s="75" t="s">
        <v>103</v>
      </c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No</v>
      </c>
      <c r="J98" s="37">
        <v>84595</v>
      </c>
      <c r="K98" s="37">
        <v>84595</v>
      </c>
      <c r="L98" s="35">
        <v>1.01</v>
      </c>
      <c r="M98" s="78">
        <f t="shared" si="17"/>
        <v>83757.425742574254</v>
      </c>
      <c r="N98" s="79">
        <f t="shared" si="18"/>
        <v>1.01</v>
      </c>
      <c r="O98" s="80">
        <f t="shared" si="13"/>
        <v>0</v>
      </c>
      <c r="P98" s="19">
        <v>4495</v>
      </c>
      <c r="Q98" s="19">
        <v>342</v>
      </c>
      <c r="R98" s="81">
        <f t="shared" si="14"/>
        <v>4837</v>
      </c>
      <c r="S98" s="82">
        <f t="shared" si="19"/>
        <v>0.6393919365499009</v>
      </c>
      <c r="T98" s="83" t="s">
        <v>160</v>
      </c>
      <c r="U98" s="83" t="s">
        <v>284</v>
      </c>
      <c r="V98" s="83" t="s">
        <v>153</v>
      </c>
      <c r="W98" s="113">
        <f t="shared" si="15"/>
        <v>45</v>
      </c>
      <c r="AA98" s="75" t="s">
        <v>107</v>
      </c>
      <c r="AB98" s="44">
        <v>-931.99</v>
      </c>
    </row>
    <row r="99" spans="1:28" ht="15">
      <c r="A99" s="15">
        <f t="shared" si="16"/>
        <v>86</v>
      </c>
      <c r="B99" s="15" t="s">
        <v>322</v>
      </c>
      <c r="C99" s="16">
        <v>2022</v>
      </c>
      <c r="D99" s="75" t="s">
        <v>22</v>
      </c>
      <c r="E99" s="16" t="s">
        <v>271</v>
      </c>
      <c r="F99" s="17">
        <v>69</v>
      </c>
      <c r="G99" s="75" t="s">
        <v>111</v>
      </c>
      <c r="H99" s="75" t="s">
        <v>107</v>
      </c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Yes</v>
      </c>
      <c r="J99" s="37">
        <v>38981</v>
      </c>
      <c r="K99" s="38">
        <v>38681</v>
      </c>
      <c r="L99" s="36">
        <v>0.99</v>
      </c>
      <c r="M99" s="78">
        <f t="shared" si="17"/>
        <v>39374.747474747477</v>
      </c>
      <c r="N99" s="79">
        <f t="shared" si="18"/>
        <v>0.98238090351709806</v>
      </c>
      <c r="O99" s="80">
        <f t="shared" si="13"/>
        <v>300</v>
      </c>
      <c r="P99" s="19">
        <v>2239</v>
      </c>
      <c r="Q99" s="19">
        <v>2332</v>
      </c>
      <c r="R99" s="81">
        <f t="shared" si="14"/>
        <v>4571</v>
      </c>
      <c r="S99" s="82">
        <f t="shared" si="19"/>
        <v>0.6544288362925722</v>
      </c>
      <c r="T99" s="83" t="s">
        <v>164</v>
      </c>
      <c r="U99" s="83" t="s">
        <v>157</v>
      </c>
      <c r="V99" s="83" t="s">
        <v>153</v>
      </c>
      <c r="W99" s="113">
        <f t="shared" si="15"/>
        <v>90</v>
      </c>
      <c r="AA99" s="75" t="s">
        <v>103</v>
      </c>
      <c r="AB99" s="44">
        <v>0</v>
      </c>
    </row>
    <row r="100" spans="1:28" ht="15">
      <c r="A100" s="15">
        <f t="shared" si="16"/>
        <v>87</v>
      </c>
      <c r="B100" s="15"/>
      <c r="C100" s="16"/>
      <c r="D100" s="75"/>
      <c r="E100" s="16"/>
      <c r="F100" s="17"/>
      <c r="G100" s="75"/>
      <c r="H100" s="75"/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Blank</v>
      </c>
      <c r="J100" s="37"/>
      <c r="K100" s="38"/>
      <c r="L100" s="36"/>
      <c r="M100" s="78" t="e">
        <f t="shared" si="17"/>
        <v>#DIV/0!</v>
      </c>
      <c r="N100" s="79" t="e">
        <f t="shared" si="18"/>
        <v>#DIV/0!</v>
      </c>
      <c r="O100" s="80" t="str">
        <f t="shared" si="13"/>
        <v>BLANK</v>
      </c>
      <c r="P100" s="19"/>
      <c r="Q100" s="19"/>
      <c r="R100" s="81" t="str">
        <f t="shared" si="14"/>
        <v>BLANK</v>
      </c>
      <c r="S100" s="82" t="e">
        <f t="shared" si="19"/>
        <v>#VALUE!</v>
      </c>
      <c r="T100" s="83"/>
      <c r="U100" s="83"/>
      <c r="V100" s="83"/>
      <c r="W100" s="113">
        <f t="shared" si="15"/>
        <v>0</v>
      </c>
      <c r="AA100" s="75"/>
      <c r="AB100" s="44"/>
    </row>
    <row r="101" spans="1:28" ht="15">
      <c r="A101" s="15">
        <f t="shared" si="16"/>
        <v>88</v>
      </c>
      <c r="B101" s="15" t="s">
        <v>327</v>
      </c>
      <c r="C101" s="16">
        <v>2020</v>
      </c>
      <c r="D101" s="75" t="s">
        <v>22</v>
      </c>
      <c r="E101" s="16" t="s">
        <v>289</v>
      </c>
      <c r="F101" s="17">
        <v>1</v>
      </c>
      <c r="G101" s="75" t="s">
        <v>119</v>
      </c>
      <c r="H101" s="75" t="s">
        <v>103</v>
      </c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Yes</v>
      </c>
      <c r="J101" s="37">
        <v>70000</v>
      </c>
      <c r="K101" s="38">
        <v>70000</v>
      </c>
      <c r="L101" s="36">
        <v>0.94</v>
      </c>
      <c r="M101" s="78">
        <f t="shared" si="17"/>
        <v>74468.085106382976</v>
      </c>
      <c r="N101" s="79">
        <f t="shared" si="18"/>
        <v>0.94000000000000006</v>
      </c>
      <c r="O101" s="80">
        <f t="shared" si="13"/>
        <v>0</v>
      </c>
      <c r="P101" s="19">
        <v>1200</v>
      </c>
      <c r="Q101" s="19">
        <v>500</v>
      </c>
      <c r="R101" s="81">
        <f t="shared" si="14"/>
        <v>1700</v>
      </c>
      <c r="S101" s="82">
        <f t="shared" si="19"/>
        <v>8.8953488372093013</v>
      </c>
      <c r="T101" s="83" t="s">
        <v>174</v>
      </c>
      <c r="U101" s="83" t="s">
        <v>284</v>
      </c>
      <c r="V101" s="83" t="s">
        <v>328</v>
      </c>
      <c r="W101" s="113">
        <f t="shared" si="15"/>
        <v>30</v>
      </c>
      <c r="AA101" s="75" t="s">
        <v>107</v>
      </c>
      <c r="AB101" s="44">
        <v>0</v>
      </c>
    </row>
    <row r="102" spans="1:28" ht="15">
      <c r="A102" s="15">
        <f t="shared" si="16"/>
        <v>89</v>
      </c>
      <c r="B102" s="15" t="s">
        <v>329</v>
      </c>
      <c r="C102" s="16">
        <v>2022</v>
      </c>
      <c r="D102" s="75" t="s">
        <v>16</v>
      </c>
      <c r="E102" s="16" t="s">
        <v>188</v>
      </c>
      <c r="F102" s="17">
        <v>113</v>
      </c>
      <c r="G102" s="75" t="s">
        <v>102</v>
      </c>
      <c r="H102" s="75" t="s">
        <v>107</v>
      </c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No</v>
      </c>
      <c r="J102" s="37">
        <v>44988</v>
      </c>
      <c r="K102" s="37">
        <v>43988</v>
      </c>
      <c r="L102" s="35">
        <v>1.02</v>
      </c>
      <c r="M102" s="78">
        <f t="shared" si="17"/>
        <v>44105.882352941175</v>
      </c>
      <c r="N102" s="79">
        <f t="shared" si="18"/>
        <v>0.99732728727660713</v>
      </c>
      <c r="O102" s="80">
        <f t="shared" si="13"/>
        <v>1000</v>
      </c>
      <c r="P102" s="19">
        <v>2504</v>
      </c>
      <c r="Q102" s="19">
        <v>1823</v>
      </c>
      <c r="R102" s="81">
        <f t="shared" si="14"/>
        <v>4327</v>
      </c>
      <c r="S102" s="82">
        <f t="shared" si="19"/>
        <v>0.33229998899245089</v>
      </c>
      <c r="T102" s="83" t="s">
        <v>164</v>
      </c>
      <c r="U102" s="83" t="s">
        <v>284</v>
      </c>
      <c r="V102" s="83" t="s">
        <v>328</v>
      </c>
      <c r="W102" s="113">
        <f t="shared" si="15"/>
        <v>91</v>
      </c>
      <c r="AA102" s="75" t="s">
        <v>107</v>
      </c>
      <c r="AB102" s="44">
        <v>1500</v>
      </c>
    </row>
    <row r="103" spans="1:28" ht="15">
      <c r="A103" s="15">
        <f t="shared" si="16"/>
        <v>90</v>
      </c>
      <c r="B103" s="15" t="s">
        <v>330</v>
      </c>
      <c r="C103" s="16">
        <v>2021</v>
      </c>
      <c r="D103" s="75" t="s">
        <v>22</v>
      </c>
      <c r="E103" s="16" t="s">
        <v>331</v>
      </c>
      <c r="F103" s="17">
        <v>73</v>
      </c>
      <c r="G103" s="75" t="s">
        <v>108</v>
      </c>
      <c r="H103" s="75" t="s">
        <v>107</v>
      </c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Yes</v>
      </c>
      <c r="J103" s="37">
        <v>29988</v>
      </c>
      <c r="K103" s="38">
        <v>28955</v>
      </c>
      <c r="L103" s="36">
        <v>0.98</v>
      </c>
      <c r="M103" s="78">
        <f t="shared" si="17"/>
        <v>30600</v>
      </c>
      <c r="N103" s="79">
        <f t="shared" si="18"/>
        <v>0.94624183006535945</v>
      </c>
      <c r="O103" s="80">
        <f t="shared" si="13"/>
        <v>1033</v>
      </c>
      <c r="P103" s="19">
        <v>3376</v>
      </c>
      <c r="Q103" s="19">
        <v>1737</v>
      </c>
      <c r="R103" s="81">
        <f t="shared" si="14"/>
        <v>5113</v>
      </c>
      <c r="S103" s="82">
        <f t="shared" si="19"/>
        <v>0.98576154347503597</v>
      </c>
      <c r="T103" s="83" t="s">
        <v>164</v>
      </c>
      <c r="U103" s="83" t="s">
        <v>324</v>
      </c>
      <c r="V103" s="83" t="s">
        <v>328</v>
      </c>
      <c r="W103" s="113">
        <f t="shared" si="15"/>
        <v>90</v>
      </c>
      <c r="AA103" s="75" t="s">
        <v>107</v>
      </c>
      <c r="AB103" s="44">
        <v>1000</v>
      </c>
    </row>
    <row r="104" spans="1:28" ht="15">
      <c r="A104" s="15">
        <f t="shared" si="16"/>
        <v>91</v>
      </c>
      <c r="B104" s="15" t="s">
        <v>332</v>
      </c>
      <c r="C104" s="16">
        <v>2020</v>
      </c>
      <c r="D104" s="75" t="s">
        <v>22</v>
      </c>
      <c r="E104" s="16" t="s">
        <v>289</v>
      </c>
      <c r="F104" s="17">
        <v>1</v>
      </c>
      <c r="G104" s="75" t="s">
        <v>119</v>
      </c>
      <c r="H104" s="75" t="s">
        <v>103</v>
      </c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Yes</v>
      </c>
      <c r="J104" s="37">
        <v>30034</v>
      </c>
      <c r="K104" s="37">
        <v>30034</v>
      </c>
      <c r="L104" s="35">
        <v>0.94</v>
      </c>
      <c r="M104" s="78">
        <f t="shared" si="17"/>
        <v>31951.063829787236</v>
      </c>
      <c r="N104" s="79">
        <f t="shared" si="18"/>
        <v>0.94</v>
      </c>
      <c r="O104" s="80">
        <f t="shared" si="13"/>
        <v>0</v>
      </c>
      <c r="P104" s="19">
        <v>1200</v>
      </c>
      <c r="Q104" s="19">
        <v>1431</v>
      </c>
      <c r="R104" s="81">
        <f t="shared" si="14"/>
        <v>2631</v>
      </c>
      <c r="S104" s="82">
        <f t="shared" si="19"/>
        <v>32.848720260803219</v>
      </c>
      <c r="T104" s="83" t="s">
        <v>164</v>
      </c>
      <c r="U104" s="83" t="s">
        <v>324</v>
      </c>
      <c r="V104" s="83" t="s">
        <v>159</v>
      </c>
      <c r="W104" s="113">
        <f t="shared" si="15"/>
        <v>30</v>
      </c>
      <c r="AA104" s="75" t="s">
        <v>103</v>
      </c>
      <c r="AB104" s="44">
        <v>0</v>
      </c>
    </row>
    <row r="105" spans="1:28" ht="15">
      <c r="A105" s="15">
        <f t="shared" si="16"/>
        <v>92</v>
      </c>
      <c r="B105" s="15" t="s">
        <v>333</v>
      </c>
      <c r="C105" s="16">
        <v>2023</v>
      </c>
      <c r="D105" s="75" t="s">
        <v>15</v>
      </c>
      <c r="E105" s="16" t="s">
        <v>262</v>
      </c>
      <c r="F105" s="17">
        <v>53</v>
      </c>
      <c r="G105" s="75" t="s">
        <v>102</v>
      </c>
      <c r="H105" s="75" t="s">
        <v>107</v>
      </c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Yes</v>
      </c>
      <c r="J105" s="37">
        <v>41988</v>
      </c>
      <c r="K105" s="37">
        <v>41049</v>
      </c>
      <c r="L105" s="35">
        <v>0.95</v>
      </c>
      <c r="M105" s="78">
        <f t="shared" si="17"/>
        <v>44197.894736842107</v>
      </c>
      <c r="N105" s="79">
        <f t="shared" si="18"/>
        <v>0.92875464418405251</v>
      </c>
      <c r="O105" s="80">
        <f t="shared" si="13"/>
        <v>939</v>
      </c>
      <c r="P105" s="19">
        <v>2422</v>
      </c>
      <c r="Q105" s="19">
        <v>1249</v>
      </c>
      <c r="R105" s="81">
        <f t="shared" si="14"/>
        <v>3671</v>
      </c>
      <c r="S105" s="82">
        <f t="shared" si="19"/>
        <v>0.6455353597127047</v>
      </c>
      <c r="T105" s="83" t="s">
        <v>165</v>
      </c>
      <c r="U105" s="83" t="s">
        <v>324</v>
      </c>
      <c r="V105" s="83" t="s">
        <v>328</v>
      </c>
      <c r="W105" s="113">
        <f t="shared" si="15"/>
        <v>60</v>
      </c>
      <c r="AA105" s="75" t="s">
        <v>107</v>
      </c>
      <c r="AB105" s="44">
        <v>-1000</v>
      </c>
    </row>
    <row r="106" spans="1:28" ht="15">
      <c r="A106" s="15">
        <f t="shared" si="16"/>
        <v>93</v>
      </c>
      <c r="B106" s="15" t="s">
        <v>334</v>
      </c>
      <c r="C106" s="16">
        <v>2017</v>
      </c>
      <c r="D106" s="75" t="s">
        <v>29</v>
      </c>
      <c r="E106" s="16" t="s">
        <v>335</v>
      </c>
      <c r="F106" s="17">
        <v>62</v>
      </c>
      <c r="G106" s="75" t="s">
        <v>109</v>
      </c>
      <c r="H106" s="75" t="s">
        <v>103</v>
      </c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No</v>
      </c>
      <c r="J106" s="37">
        <v>19988</v>
      </c>
      <c r="K106" s="37">
        <v>19988</v>
      </c>
      <c r="L106" s="35">
        <v>0.99</v>
      </c>
      <c r="M106" s="78">
        <f t="shared" si="17"/>
        <v>20189.898989898989</v>
      </c>
      <c r="N106" s="79">
        <f t="shared" si="18"/>
        <v>0.99</v>
      </c>
      <c r="O106" s="80">
        <f t="shared" si="13"/>
        <v>0</v>
      </c>
      <c r="P106" s="19">
        <v>1832</v>
      </c>
      <c r="Q106" s="19">
        <v>1133</v>
      </c>
      <c r="R106" s="81">
        <f t="shared" si="14"/>
        <v>2965</v>
      </c>
      <c r="S106" s="82">
        <f t="shared" si="19"/>
        <v>0.94823358846982075</v>
      </c>
      <c r="T106" s="83" t="s">
        <v>162</v>
      </c>
      <c r="U106" s="83" t="s">
        <v>284</v>
      </c>
      <c r="V106" s="83" t="s">
        <v>328</v>
      </c>
      <c r="W106" s="113">
        <f t="shared" si="15"/>
        <v>90</v>
      </c>
      <c r="AA106" s="75" t="s">
        <v>103</v>
      </c>
      <c r="AB106" s="44">
        <v>0</v>
      </c>
    </row>
    <row r="107" spans="1:28" ht="15">
      <c r="A107" s="15">
        <f t="shared" si="16"/>
        <v>94</v>
      </c>
      <c r="B107" s="15" t="s">
        <v>336</v>
      </c>
      <c r="C107" s="16">
        <v>2019</v>
      </c>
      <c r="D107" s="75" t="s">
        <v>53</v>
      </c>
      <c r="E107" s="16" t="s">
        <v>337</v>
      </c>
      <c r="F107" s="17">
        <v>127</v>
      </c>
      <c r="G107" s="75" t="s">
        <v>109</v>
      </c>
      <c r="H107" s="75" t="s">
        <v>103</v>
      </c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No</v>
      </c>
      <c r="J107" s="37">
        <v>23988</v>
      </c>
      <c r="K107" s="37">
        <v>23988</v>
      </c>
      <c r="L107" s="35">
        <v>1.01</v>
      </c>
      <c r="M107" s="78">
        <f t="shared" si="17"/>
        <v>23750.495049504949</v>
      </c>
      <c r="N107" s="79">
        <f t="shared" si="18"/>
        <v>1.01</v>
      </c>
      <c r="O107" s="80">
        <f t="shared" si="13"/>
        <v>0</v>
      </c>
      <c r="P107" s="19">
        <v>1924</v>
      </c>
      <c r="Q107" s="19">
        <v>2559</v>
      </c>
      <c r="R107" s="81">
        <f t="shared" si="14"/>
        <v>4483</v>
      </c>
      <c r="S107" s="82">
        <f t="shared" si="19"/>
        <v>0.57594799381041828</v>
      </c>
      <c r="T107" s="83" t="s">
        <v>323</v>
      </c>
      <c r="U107" s="83" t="s">
        <v>263</v>
      </c>
      <c r="V107" s="83" t="s">
        <v>159</v>
      </c>
      <c r="W107" s="113">
        <f t="shared" si="15"/>
        <v>91</v>
      </c>
      <c r="AA107" s="75" t="s">
        <v>103</v>
      </c>
      <c r="AB107" s="44">
        <v>0</v>
      </c>
    </row>
    <row r="108" spans="1:28" ht="15">
      <c r="A108" s="15">
        <f t="shared" si="16"/>
        <v>95</v>
      </c>
      <c r="B108" s="15" t="s">
        <v>338</v>
      </c>
      <c r="C108" s="16">
        <v>2021</v>
      </c>
      <c r="D108" s="75" t="s">
        <v>16</v>
      </c>
      <c r="E108" s="16" t="s">
        <v>188</v>
      </c>
      <c r="F108" s="17">
        <v>14</v>
      </c>
      <c r="G108" s="75" t="s">
        <v>102</v>
      </c>
      <c r="H108" s="75" t="s">
        <v>107</v>
      </c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No</v>
      </c>
      <c r="J108" s="37">
        <v>65988</v>
      </c>
      <c r="K108" s="37">
        <v>65988</v>
      </c>
      <c r="L108" s="35">
        <v>1</v>
      </c>
      <c r="M108" s="78">
        <f t="shared" si="17"/>
        <v>65988</v>
      </c>
      <c r="N108" s="79">
        <f t="shared" si="18"/>
        <v>1</v>
      </c>
      <c r="O108" s="80">
        <f t="shared" si="13"/>
        <v>0</v>
      </c>
      <c r="P108" s="19">
        <v>7541</v>
      </c>
      <c r="Q108" s="19">
        <v>6622</v>
      </c>
      <c r="R108" s="81">
        <f t="shared" si="14"/>
        <v>14163</v>
      </c>
      <c r="S108" s="82">
        <f t="shared" si="19"/>
        <v>6.2311398116486494</v>
      </c>
      <c r="T108" s="83" t="s">
        <v>163</v>
      </c>
      <c r="U108" s="83" t="s">
        <v>324</v>
      </c>
      <c r="V108" s="83" t="s">
        <v>328</v>
      </c>
      <c r="W108" s="113">
        <f t="shared" si="15"/>
        <v>30</v>
      </c>
      <c r="AA108" s="75" t="s">
        <v>103</v>
      </c>
      <c r="AB108" s="44">
        <v>0</v>
      </c>
    </row>
    <row r="109" spans="1:28" ht="15">
      <c r="A109" s="15">
        <f t="shared" si="16"/>
        <v>96</v>
      </c>
      <c r="B109" s="15" t="s">
        <v>339</v>
      </c>
      <c r="C109" s="16">
        <v>2016</v>
      </c>
      <c r="D109" s="75" t="s">
        <v>38</v>
      </c>
      <c r="E109" s="16" t="s">
        <v>340</v>
      </c>
      <c r="F109" s="17">
        <v>17</v>
      </c>
      <c r="G109" s="75" t="s">
        <v>102</v>
      </c>
      <c r="H109" s="75" t="s">
        <v>103</v>
      </c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No</v>
      </c>
      <c r="J109" s="37">
        <v>28988</v>
      </c>
      <c r="K109" s="37">
        <v>27341</v>
      </c>
      <c r="L109" s="35">
        <v>1.1599999999999999</v>
      </c>
      <c r="M109" s="78">
        <f t="shared" si="17"/>
        <v>24989.655172413793</v>
      </c>
      <c r="N109" s="79">
        <f t="shared" si="18"/>
        <v>1.0940927280253898</v>
      </c>
      <c r="O109" s="80">
        <f t="shared" si="13"/>
        <v>1647</v>
      </c>
      <c r="P109" s="19">
        <v>6613</v>
      </c>
      <c r="Q109" s="19">
        <v>0</v>
      </c>
      <c r="R109" s="81">
        <f t="shared" si="14"/>
        <v>6613</v>
      </c>
      <c r="S109" s="82">
        <f t="shared" si="19"/>
        <v>6.7560787340795052</v>
      </c>
      <c r="T109" s="83" t="s">
        <v>161</v>
      </c>
      <c r="U109" s="83" t="s">
        <v>284</v>
      </c>
      <c r="V109" s="83" t="s">
        <v>328</v>
      </c>
      <c r="W109" s="113">
        <f t="shared" ref="W109:W140" si="20">IF(AND(F109&gt;0,F109&lt;=30),30,IF(AND(F109&gt;=31,F109&lt;=45),45,IF(AND(F109&gt;=46,F109&lt;=60),60,IF(AND(F109&gt;=61,F109&lt;=90),90,IF(F109&gt;=91,91,0)))))</f>
        <v>30</v>
      </c>
      <c r="AA109" s="75" t="s">
        <v>103</v>
      </c>
      <c r="AB109" s="44">
        <v>0</v>
      </c>
    </row>
    <row r="110" spans="1:28" ht="15">
      <c r="A110" s="15">
        <f t="shared" si="16"/>
        <v>97</v>
      </c>
      <c r="B110" s="15" t="s">
        <v>341</v>
      </c>
      <c r="C110" s="16">
        <v>2018</v>
      </c>
      <c r="D110" s="75" t="s">
        <v>25</v>
      </c>
      <c r="E110" s="16" t="s">
        <v>342</v>
      </c>
      <c r="F110" s="17">
        <v>73</v>
      </c>
      <c r="G110" s="75" t="s">
        <v>109</v>
      </c>
      <c r="H110" s="75" t="s">
        <v>103</v>
      </c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No</v>
      </c>
      <c r="J110" s="37">
        <v>16988</v>
      </c>
      <c r="K110" s="37">
        <v>16988</v>
      </c>
      <c r="L110" s="35">
        <v>0.98</v>
      </c>
      <c r="M110" s="78">
        <f t="shared" si="17"/>
        <v>17334.693877551021</v>
      </c>
      <c r="N110" s="79">
        <f t="shared" si="18"/>
        <v>0.98</v>
      </c>
      <c r="O110" s="80">
        <f t="shared" si="13"/>
        <v>0</v>
      </c>
      <c r="P110" s="19">
        <v>1837</v>
      </c>
      <c r="Q110" s="19">
        <v>1783</v>
      </c>
      <c r="R110" s="81">
        <f t="shared" si="14"/>
        <v>3620</v>
      </c>
      <c r="S110" s="82">
        <f t="shared" si="19"/>
        <v>1.1782756778114019</v>
      </c>
      <c r="T110" s="83" t="s">
        <v>164</v>
      </c>
      <c r="U110" s="83" t="s">
        <v>284</v>
      </c>
      <c r="V110" s="83" t="s">
        <v>159</v>
      </c>
      <c r="W110" s="113">
        <f t="shared" si="20"/>
        <v>90</v>
      </c>
      <c r="AA110" s="75" t="s">
        <v>103</v>
      </c>
      <c r="AB110" s="44">
        <v>0</v>
      </c>
    </row>
    <row r="111" spans="1:28" ht="15">
      <c r="A111" s="15">
        <f t="shared" si="16"/>
        <v>98</v>
      </c>
      <c r="B111" s="15" t="s">
        <v>343</v>
      </c>
      <c r="C111" s="16">
        <v>2017</v>
      </c>
      <c r="D111" s="75" t="s">
        <v>22</v>
      </c>
      <c r="E111" s="16" t="s">
        <v>289</v>
      </c>
      <c r="F111" s="17">
        <v>19</v>
      </c>
      <c r="G111" s="75" t="s">
        <v>102</v>
      </c>
      <c r="H111" s="75" t="s">
        <v>103</v>
      </c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Yes</v>
      </c>
      <c r="J111" s="37">
        <v>32988</v>
      </c>
      <c r="K111" s="37">
        <v>32278</v>
      </c>
      <c r="L111" s="35">
        <v>0.98</v>
      </c>
      <c r="M111" s="78">
        <f t="shared" si="17"/>
        <v>33661.224489795917</v>
      </c>
      <c r="N111" s="79">
        <f t="shared" si="18"/>
        <v>0.95890748150842731</v>
      </c>
      <c r="O111" s="80">
        <f t="shared" si="13"/>
        <v>710</v>
      </c>
      <c r="P111" s="19">
        <v>7556</v>
      </c>
      <c r="Q111" s="19">
        <v>2445</v>
      </c>
      <c r="R111" s="81">
        <f t="shared" si="14"/>
        <v>10001</v>
      </c>
      <c r="S111" s="82">
        <f t="shared" si="19"/>
        <v>7.6649393891654141</v>
      </c>
      <c r="T111" s="83" t="s">
        <v>325</v>
      </c>
      <c r="U111" s="83" t="s">
        <v>324</v>
      </c>
      <c r="V111" s="83" t="s">
        <v>328</v>
      </c>
      <c r="W111" s="113">
        <f t="shared" si="20"/>
        <v>30</v>
      </c>
      <c r="AA111" s="75" t="s">
        <v>107</v>
      </c>
      <c r="AB111" s="44">
        <v>0</v>
      </c>
    </row>
    <row r="112" spans="1:28" ht="15">
      <c r="A112" s="15">
        <f t="shared" si="16"/>
        <v>99</v>
      </c>
      <c r="B112" s="15" t="s">
        <v>344</v>
      </c>
      <c r="C112" s="16">
        <v>2019</v>
      </c>
      <c r="D112" s="75" t="s">
        <v>15</v>
      </c>
      <c r="E112" s="16" t="s">
        <v>345</v>
      </c>
      <c r="F112" s="17">
        <v>129</v>
      </c>
      <c r="G112" s="75" t="s">
        <v>102</v>
      </c>
      <c r="H112" s="75" t="s">
        <v>103</v>
      </c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Yes</v>
      </c>
      <c r="J112" s="37">
        <v>32988</v>
      </c>
      <c r="K112" s="37">
        <v>32988</v>
      </c>
      <c r="L112" s="35">
        <v>0.96</v>
      </c>
      <c r="M112" s="78">
        <f t="shared" si="17"/>
        <v>34362.5</v>
      </c>
      <c r="N112" s="79">
        <f t="shared" si="18"/>
        <v>0.96</v>
      </c>
      <c r="O112" s="80">
        <f t="shared" si="13"/>
        <v>0</v>
      </c>
      <c r="P112" s="19">
        <v>2102</v>
      </c>
      <c r="Q112" s="19">
        <v>2931</v>
      </c>
      <c r="R112" s="81">
        <f t="shared" si="14"/>
        <v>5033</v>
      </c>
      <c r="S112" s="82">
        <f t="shared" si="19"/>
        <v>0.45475559785497754</v>
      </c>
      <c r="T112" s="83" t="s">
        <v>325</v>
      </c>
      <c r="U112" s="83" t="s">
        <v>324</v>
      </c>
      <c r="V112" s="83" t="s">
        <v>328</v>
      </c>
      <c r="W112" s="113">
        <f t="shared" si="20"/>
        <v>91</v>
      </c>
      <c r="AA112" s="75" t="s">
        <v>103</v>
      </c>
      <c r="AB112" s="44">
        <v>0</v>
      </c>
    </row>
    <row r="113" spans="1:28" ht="15">
      <c r="A113" s="15">
        <f t="shared" si="16"/>
        <v>100</v>
      </c>
      <c r="B113" s="15" t="s">
        <v>346</v>
      </c>
      <c r="C113" s="16">
        <v>2022</v>
      </c>
      <c r="D113" s="75" t="s">
        <v>16</v>
      </c>
      <c r="E113" s="16" t="s">
        <v>188</v>
      </c>
      <c r="F113" s="17">
        <v>1</v>
      </c>
      <c r="G113" s="75" t="s">
        <v>119</v>
      </c>
      <c r="H113" s="75" t="s">
        <v>103</v>
      </c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No</v>
      </c>
      <c r="J113" s="37">
        <v>60244</v>
      </c>
      <c r="K113" s="37">
        <v>60244</v>
      </c>
      <c r="L113" s="35">
        <v>0.95</v>
      </c>
      <c r="M113" s="78">
        <f t="shared" si="17"/>
        <v>63414.736842105267</v>
      </c>
      <c r="N113" s="79">
        <f t="shared" si="18"/>
        <v>0.95</v>
      </c>
      <c r="O113" s="80">
        <f t="shared" si="13"/>
        <v>0</v>
      </c>
      <c r="P113" s="19">
        <v>0</v>
      </c>
      <c r="Q113" s="19">
        <v>0</v>
      </c>
      <c r="R113" s="81">
        <f t="shared" si="14"/>
        <v>0</v>
      </c>
      <c r="S113" s="82">
        <f t="shared" si="19"/>
        <v>0</v>
      </c>
      <c r="T113" s="83" t="s">
        <v>164</v>
      </c>
      <c r="U113" s="83" t="s">
        <v>324</v>
      </c>
      <c r="V113" s="83" t="s">
        <v>328</v>
      </c>
      <c r="W113" s="113">
        <f t="shared" si="20"/>
        <v>30</v>
      </c>
      <c r="AA113" s="75" t="s">
        <v>103</v>
      </c>
      <c r="AB113" s="44">
        <v>0</v>
      </c>
    </row>
    <row r="114" spans="1:28" ht="15">
      <c r="A114" s="15">
        <f t="shared" si="16"/>
        <v>101</v>
      </c>
      <c r="B114" s="15" t="s">
        <v>347</v>
      </c>
      <c r="C114" s="16">
        <v>2021</v>
      </c>
      <c r="D114" s="75" t="s">
        <v>15</v>
      </c>
      <c r="E114" s="16" t="s">
        <v>348</v>
      </c>
      <c r="F114" s="17">
        <v>91</v>
      </c>
      <c r="G114" s="75" t="s">
        <v>108</v>
      </c>
      <c r="H114" s="75" t="s">
        <v>107</v>
      </c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Yes</v>
      </c>
      <c r="J114" s="37">
        <v>42988</v>
      </c>
      <c r="K114" s="37">
        <v>41976</v>
      </c>
      <c r="L114" s="35">
        <v>1.01</v>
      </c>
      <c r="M114" s="78">
        <f t="shared" si="17"/>
        <v>42562.376237623765</v>
      </c>
      <c r="N114" s="79">
        <f t="shared" si="18"/>
        <v>0.98622313203684742</v>
      </c>
      <c r="O114" s="80">
        <f t="shared" si="13"/>
        <v>1012</v>
      </c>
      <c r="P114" s="19">
        <v>2795</v>
      </c>
      <c r="Q114" s="19">
        <v>2275</v>
      </c>
      <c r="R114" s="81">
        <f t="shared" si="14"/>
        <v>5070</v>
      </c>
      <c r="S114" s="82">
        <f t="shared" si="19"/>
        <v>0.51190992718774042</v>
      </c>
      <c r="T114" s="83" t="s">
        <v>164</v>
      </c>
      <c r="U114" s="83" t="s">
        <v>324</v>
      </c>
      <c r="V114" s="83" t="s">
        <v>328</v>
      </c>
      <c r="W114" s="113">
        <f t="shared" si="20"/>
        <v>91</v>
      </c>
      <c r="AA114" s="75" t="s">
        <v>103</v>
      </c>
      <c r="AB114" s="44">
        <v>0</v>
      </c>
    </row>
    <row r="115" spans="1:28" ht="15">
      <c r="A115" s="15">
        <f t="shared" si="16"/>
        <v>102</v>
      </c>
      <c r="B115" s="15" t="s">
        <v>349</v>
      </c>
      <c r="C115" s="16">
        <v>2020</v>
      </c>
      <c r="D115" s="75" t="s">
        <v>22</v>
      </c>
      <c r="E115" s="16" t="s">
        <v>331</v>
      </c>
      <c r="F115" s="17">
        <v>89</v>
      </c>
      <c r="G115" s="75" t="s">
        <v>102</v>
      </c>
      <c r="H115" s="75" t="s">
        <v>107</v>
      </c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Yes</v>
      </c>
      <c r="J115" s="37">
        <v>29988</v>
      </c>
      <c r="K115" s="37">
        <v>29988</v>
      </c>
      <c r="L115" s="35">
        <v>1.0900000000000001</v>
      </c>
      <c r="M115" s="78">
        <f t="shared" si="17"/>
        <v>27511.926605504585</v>
      </c>
      <c r="N115" s="79">
        <f t="shared" si="18"/>
        <v>1.0900000000000001</v>
      </c>
      <c r="O115" s="80">
        <v>0</v>
      </c>
      <c r="P115" s="19">
        <v>3525</v>
      </c>
      <c r="Q115" s="19">
        <v>1446</v>
      </c>
      <c r="R115" s="81">
        <f t="shared" si="14"/>
        <v>4971</v>
      </c>
      <c r="S115" s="82">
        <f t="shared" si="19"/>
        <v>0.75983130145248379</v>
      </c>
      <c r="T115" s="83" t="s">
        <v>162</v>
      </c>
      <c r="U115" s="83" t="s">
        <v>284</v>
      </c>
      <c r="V115" s="83" t="s">
        <v>328</v>
      </c>
      <c r="W115" s="113">
        <f t="shared" si="20"/>
        <v>90</v>
      </c>
      <c r="AA115" s="75" t="s">
        <v>103</v>
      </c>
      <c r="AB115" s="44">
        <v>0</v>
      </c>
    </row>
    <row r="116" spans="1:28" ht="15">
      <c r="A116" s="15">
        <f t="shared" si="16"/>
        <v>103</v>
      </c>
      <c r="B116" s="15" t="s">
        <v>350</v>
      </c>
      <c r="C116" s="16">
        <v>2019</v>
      </c>
      <c r="D116" s="75" t="s">
        <v>16</v>
      </c>
      <c r="E116" s="16" t="s">
        <v>188</v>
      </c>
      <c r="F116" s="17">
        <v>12</v>
      </c>
      <c r="G116" s="75" t="s">
        <v>109</v>
      </c>
      <c r="H116" s="75" t="s">
        <v>107</v>
      </c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No</v>
      </c>
      <c r="J116" s="37">
        <v>41988</v>
      </c>
      <c r="K116" s="37">
        <v>40988</v>
      </c>
      <c r="L116" s="35">
        <v>1.02</v>
      </c>
      <c r="M116" s="78">
        <f t="shared" si="17"/>
        <v>41164.705882352937</v>
      </c>
      <c r="N116" s="79">
        <f t="shared" si="18"/>
        <v>0.99570734495570168</v>
      </c>
      <c r="O116" s="80">
        <f t="shared" si="13"/>
        <v>1000</v>
      </c>
      <c r="P116" s="19">
        <v>3672</v>
      </c>
      <c r="Q116" s="19">
        <v>2076</v>
      </c>
      <c r="R116" s="81">
        <f t="shared" si="14"/>
        <v>5748</v>
      </c>
      <c r="S116" s="82">
        <f t="shared" si="19"/>
        <v>4.621074070103977</v>
      </c>
      <c r="T116" s="83" t="s">
        <v>160</v>
      </c>
      <c r="U116" s="83" t="s">
        <v>284</v>
      </c>
      <c r="V116" s="83" t="s">
        <v>328</v>
      </c>
      <c r="W116" s="113">
        <f t="shared" si="20"/>
        <v>30</v>
      </c>
      <c r="AA116" s="75" t="s">
        <v>103</v>
      </c>
      <c r="AB116" s="44">
        <v>0</v>
      </c>
    </row>
    <row r="117" spans="1:28" ht="15">
      <c r="A117" s="15">
        <f t="shared" si="16"/>
        <v>104</v>
      </c>
      <c r="B117" s="15" t="s">
        <v>351</v>
      </c>
      <c r="C117" s="16">
        <v>2022</v>
      </c>
      <c r="D117" s="75" t="s">
        <v>22</v>
      </c>
      <c r="E117" s="16" t="s">
        <v>289</v>
      </c>
      <c r="F117" s="17">
        <v>91</v>
      </c>
      <c r="G117" s="75" t="s">
        <v>102</v>
      </c>
      <c r="H117" s="75" t="s">
        <v>107</v>
      </c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Yes</v>
      </c>
      <c r="J117" s="37">
        <v>45988</v>
      </c>
      <c r="K117" s="37">
        <v>44530</v>
      </c>
      <c r="L117" s="35">
        <v>1</v>
      </c>
      <c r="M117" s="78">
        <f t="shared" si="17"/>
        <v>45988</v>
      </c>
      <c r="N117" s="79">
        <f t="shared" si="18"/>
        <v>0.96829607723754019</v>
      </c>
      <c r="O117" s="80">
        <f t="shared" si="13"/>
        <v>1458</v>
      </c>
      <c r="P117" s="19">
        <v>1335</v>
      </c>
      <c r="Q117" s="19">
        <v>1656</v>
      </c>
      <c r="R117" s="81">
        <f t="shared" si="14"/>
        <v>2991</v>
      </c>
      <c r="S117" s="82">
        <f t="shared" si="19"/>
        <v>0.27393280408675708</v>
      </c>
      <c r="T117" s="83" t="s">
        <v>164</v>
      </c>
      <c r="U117" s="83" t="s">
        <v>324</v>
      </c>
      <c r="V117" s="83" t="s">
        <v>328</v>
      </c>
      <c r="W117" s="113">
        <f t="shared" si="20"/>
        <v>91</v>
      </c>
      <c r="AA117" s="75" t="s">
        <v>107</v>
      </c>
      <c r="AB117" s="44">
        <v>-1000</v>
      </c>
    </row>
    <row r="118" spans="1:28" ht="15">
      <c r="A118" s="15">
        <f t="shared" si="16"/>
        <v>105</v>
      </c>
      <c r="B118" s="15" t="s">
        <v>352</v>
      </c>
      <c r="C118" s="16">
        <v>2018</v>
      </c>
      <c r="D118" s="75" t="s">
        <v>16</v>
      </c>
      <c r="E118" s="16" t="s">
        <v>353</v>
      </c>
      <c r="F118" s="17">
        <v>37</v>
      </c>
      <c r="G118" s="75" t="s">
        <v>109</v>
      </c>
      <c r="H118" s="75" t="s">
        <v>103</v>
      </c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No</v>
      </c>
      <c r="J118" s="37">
        <v>18488</v>
      </c>
      <c r="K118" s="37">
        <v>16999</v>
      </c>
      <c r="L118" s="35">
        <v>1.02</v>
      </c>
      <c r="M118" s="78">
        <f t="shared" si="17"/>
        <v>18125.49019607843</v>
      </c>
      <c r="N118" s="79">
        <f t="shared" si="18"/>
        <v>0.93785049762007799</v>
      </c>
      <c r="O118" s="80">
        <f t="shared" si="13"/>
        <v>1489</v>
      </c>
      <c r="P118" s="19">
        <v>2059</v>
      </c>
      <c r="Q118" s="19">
        <v>2893</v>
      </c>
      <c r="R118" s="81">
        <f t="shared" si="14"/>
        <v>4952</v>
      </c>
      <c r="S118" s="82">
        <f t="shared" si="19"/>
        <v>3.2250081406707913</v>
      </c>
      <c r="T118" s="83" t="s">
        <v>163</v>
      </c>
      <c r="U118" s="83" t="s">
        <v>324</v>
      </c>
      <c r="V118" s="83" t="s">
        <v>328</v>
      </c>
      <c r="W118" s="113">
        <f t="shared" si="20"/>
        <v>45</v>
      </c>
      <c r="AA118" s="75" t="s">
        <v>103</v>
      </c>
      <c r="AB118" s="44">
        <v>0</v>
      </c>
    </row>
    <row r="119" spans="1:28" ht="15">
      <c r="A119" s="15">
        <f t="shared" si="16"/>
        <v>106</v>
      </c>
      <c r="B119" s="15" t="s">
        <v>354</v>
      </c>
      <c r="C119" s="16">
        <v>2021</v>
      </c>
      <c r="D119" s="75" t="s">
        <v>46</v>
      </c>
      <c r="E119" s="16">
        <v>1500</v>
      </c>
      <c r="F119" s="17">
        <v>4</v>
      </c>
      <c r="G119" s="75" t="s">
        <v>102</v>
      </c>
      <c r="H119" s="75" t="s">
        <v>103</v>
      </c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No</v>
      </c>
      <c r="J119" s="37">
        <v>85988</v>
      </c>
      <c r="K119" s="37">
        <v>82000</v>
      </c>
      <c r="L119" s="35">
        <v>1</v>
      </c>
      <c r="M119" s="78">
        <f t="shared" si="17"/>
        <v>85988</v>
      </c>
      <c r="N119" s="79">
        <f t="shared" si="18"/>
        <v>0.95362143554914636</v>
      </c>
      <c r="O119" s="80">
        <f t="shared" si="13"/>
        <v>3988</v>
      </c>
      <c r="P119" s="19">
        <v>5965</v>
      </c>
      <c r="Q119" s="19">
        <v>3980</v>
      </c>
      <c r="R119" s="81">
        <f t="shared" si="14"/>
        <v>9945</v>
      </c>
      <c r="S119" s="82">
        <f t="shared" si="19"/>
        <v>11.771552574472283</v>
      </c>
      <c r="T119" s="83" t="s">
        <v>160</v>
      </c>
      <c r="U119" s="83" t="s">
        <v>324</v>
      </c>
      <c r="V119" s="83" t="s">
        <v>328</v>
      </c>
      <c r="W119" s="113">
        <f t="shared" si="20"/>
        <v>30</v>
      </c>
      <c r="AA119" s="75" t="s">
        <v>103</v>
      </c>
      <c r="AB119" s="44">
        <v>0</v>
      </c>
    </row>
    <row r="120" spans="1:28" ht="15">
      <c r="A120" s="15">
        <f t="shared" si="16"/>
        <v>107</v>
      </c>
      <c r="B120" s="15" t="s">
        <v>355</v>
      </c>
      <c r="C120" s="16">
        <v>2017</v>
      </c>
      <c r="D120" s="75" t="s">
        <v>14</v>
      </c>
      <c r="E120" s="16" t="s">
        <v>193</v>
      </c>
      <c r="F120" s="17">
        <v>125</v>
      </c>
      <c r="G120" s="75" t="s">
        <v>109</v>
      </c>
      <c r="H120" s="75" t="s">
        <v>103</v>
      </c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Yes</v>
      </c>
      <c r="J120" s="37">
        <v>22988</v>
      </c>
      <c r="K120" s="37">
        <v>23272</v>
      </c>
      <c r="L120" s="35">
        <v>0.96</v>
      </c>
      <c r="M120" s="78">
        <f t="shared" si="17"/>
        <v>23945.833333333336</v>
      </c>
      <c r="N120" s="79">
        <f t="shared" si="18"/>
        <v>0.97186010092222019</v>
      </c>
      <c r="O120" s="80">
        <f t="shared" si="13"/>
        <v>-284</v>
      </c>
      <c r="P120" s="19">
        <v>2524</v>
      </c>
      <c r="Q120" s="19">
        <v>735</v>
      </c>
      <c r="R120" s="81">
        <f t="shared" si="14"/>
        <v>3259</v>
      </c>
      <c r="S120" s="82">
        <f t="shared" si="19"/>
        <v>0.45237709658762293</v>
      </c>
      <c r="T120" s="83" t="s">
        <v>160</v>
      </c>
      <c r="U120" s="83" t="s">
        <v>324</v>
      </c>
      <c r="V120" s="83" t="s">
        <v>159</v>
      </c>
      <c r="W120" s="113">
        <f t="shared" si="20"/>
        <v>91</v>
      </c>
      <c r="AA120" s="75" t="s">
        <v>103</v>
      </c>
      <c r="AB120" s="44">
        <v>0</v>
      </c>
    </row>
    <row r="121" spans="1:28" ht="15">
      <c r="A121" s="15">
        <f t="shared" si="16"/>
        <v>108</v>
      </c>
      <c r="B121" s="15" t="s">
        <v>356</v>
      </c>
      <c r="C121" s="16">
        <v>2018</v>
      </c>
      <c r="D121" s="75" t="s">
        <v>25</v>
      </c>
      <c r="E121" s="16" t="s">
        <v>342</v>
      </c>
      <c r="F121" s="17">
        <v>163</v>
      </c>
      <c r="G121" s="75" t="s">
        <v>109</v>
      </c>
      <c r="H121" s="75" t="s">
        <v>103</v>
      </c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No</v>
      </c>
      <c r="J121" s="37">
        <v>21988</v>
      </c>
      <c r="K121" s="37">
        <v>19700</v>
      </c>
      <c r="L121" s="35">
        <v>1</v>
      </c>
      <c r="M121" s="78">
        <f t="shared" si="17"/>
        <v>21988</v>
      </c>
      <c r="N121" s="79">
        <f t="shared" si="18"/>
        <v>0.89594324176823725</v>
      </c>
      <c r="O121" s="80">
        <f t="shared" si="13"/>
        <v>2288</v>
      </c>
      <c r="P121" s="19">
        <v>2368</v>
      </c>
      <c r="Q121" s="19">
        <v>565</v>
      </c>
      <c r="R121" s="81">
        <f t="shared" si="14"/>
        <v>2933</v>
      </c>
      <c r="S121" s="82">
        <f t="shared" si="19"/>
        <v>0.37374748505902061</v>
      </c>
      <c r="T121" s="83" t="s">
        <v>163</v>
      </c>
      <c r="U121" s="83" t="s">
        <v>284</v>
      </c>
      <c r="V121" s="83" t="s">
        <v>328</v>
      </c>
      <c r="W121" s="113">
        <f t="shared" si="20"/>
        <v>91</v>
      </c>
      <c r="AA121" s="75" t="s">
        <v>103</v>
      </c>
      <c r="AB121" s="44">
        <v>0</v>
      </c>
    </row>
    <row r="122" spans="1:28" ht="15">
      <c r="A122" s="15">
        <f t="shared" si="16"/>
        <v>109</v>
      </c>
      <c r="B122" s="15"/>
      <c r="C122" s="16"/>
      <c r="D122" s="75"/>
      <c r="E122" s="16"/>
      <c r="F122" s="17"/>
      <c r="G122" s="75"/>
      <c r="H122" s="75"/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7"/>
      <c r="K122" s="37"/>
      <c r="L122" s="35"/>
      <c r="M122" s="78" t="e">
        <f t="shared" si="17"/>
        <v>#DIV/0!</v>
      </c>
      <c r="N122" s="79" t="e">
        <f t="shared" si="18"/>
        <v>#DIV/0!</v>
      </c>
      <c r="O122" s="80" t="str">
        <f t="shared" si="13"/>
        <v>BLANK</v>
      </c>
      <c r="P122" s="19"/>
      <c r="Q122" s="19"/>
      <c r="R122" s="81" t="str">
        <f t="shared" si="14"/>
        <v>BLANK</v>
      </c>
      <c r="S122" s="82" t="e">
        <f t="shared" si="19"/>
        <v>#VALUE!</v>
      </c>
      <c r="T122" s="83"/>
      <c r="U122" s="83"/>
      <c r="V122" s="83"/>
      <c r="W122" s="113">
        <f t="shared" si="20"/>
        <v>0</v>
      </c>
      <c r="AA122" s="75"/>
      <c r="AB122" s="44"/>
    </row>
    <row r="123" spans="1:28" ht="15">
      <c r="A123" s="15">
        <f t="shared" si="16"/>
        <v>110</v>
      </c>
      <c r="B123" s="15"/>
      <c r="C123" s="16"/>
      <c r="D123" s="75"/>
      <c r="E123" s="16"/>
      <c r="F123" s="17"/>
      <c r="G123" s="75"/>
      <c r="H123" s="75"/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7"/>
      <c r="K123" s="37"/>
      <c r="L123" s="35"/>
      <c r="M123" s="78" t="e">
        <f t="shared" si="17"/>
        <v>#DIV/0!</v>
      </c>
      <c r="N123" s="79" t="e">
        <f t="shared" si="18"/>
        <v>#DIV/0!</v>
      </c>
      <c r="O123" s="80" t="str">
        <f t="shared" si="13"/>
        <v>BLANK</v>
      </c>
      <c r="P123" s="19"/>
      <c r="Q123" s="19"/>
      <c r="R123" s="81" t="str">
        <f t="shared" si="14"/>
        <v>BLANK</v>
      </c>
      <c r="S123" s="82" t="e">
        <f t="shared" si="19"/>
        <v>#VALUE!</v>
      </c>
      <c r="T123" s="83"/>
      <c r="U123" s="83"/>
      <c r="V123" s="83"/>
      <c r="W123" s="113">
        <f t="shared" si="20"/>
        <v>0</v>
      </c>
      <c r="AA123" s="75"/>
      <c r="AB123" s="44"/>
    </row>
    <row r="124" spans="1:28" ht="15">
      <c r="A124" s="15">
        <f t="shared" si="16"/>
        <v>111</v>
      </c>
      <c r="B124" s="15"/>
      <c r="C124" s="16"/>
      <c r="D124" s="75"/>
      <c r="E124" s="16"/>
      <c r="F124" s="17"/>
      <c r="G124" s="75"/>
      <c r="H124" s="75"/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7"/>
      <c r="K124" s="37"/>
      <c r="L124" s="35"/>
      <c r="M124" s="78" t="e">
        <f t="shared" si="17"/>
        <v>#DIV/0!</v>
      </c>
      <c r="N124" s="79" t="e">
        <f t="shared" si="18"/>
        <v>#DIV/0!</v>
      </c>
      <c r="O124" s="80" t="str">
        <f t="shared" si="13"/>
        <v>BLANK</v>
      </c>
      <c r="P124" s="19"/>
      <c r="Q124" s="19"/>
      <c r="R124" s="81" t="str">
        <f t="shared" si="14"/>
        <v>BLANK</v>
      </c>
      <c r="S124" s="82" t="e">
        <f t="shared" si="19"/>
        <v>#VALUE!</v>
      </c>
      <c r="T124" s="83"/>
      <c r="U124" s="83"/>
      <c r="V124" s="83"/>
      <c r="W124" s="113">
        <f t="shared" si="20"/>
        <v>0</v>
      </c>
      <c r="AA124" s="75"/>
      <c r="AB124" s="44"/>
    </row>
    <row r="125" spans="1:28" ht="15">
      <c r="A125" s="15">
        <f t="shared" si="16"/>
        <v>112</v>
      </c>
      <c r="B125" s="15"/>
      <c r="C125" s="16"/>
      <c r="D125" s="75"/>
      <c r="E125" s="16"/>
      <c r="F125" s="17"/>
      <c r="G125" s="75"/>
      <c r="H125" s="75"/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7"/>
      <c r="K125" s="38"/>
      <c r="L125" s="36"/>
      <c r="M125" s="78" t="e">
        <f t="shared" si="17"/>
        <v>#DIV/0!</v>
      </c>
      <c r="N125" s="79" t="e">
        <f t="shared" si="18"/>
        <v>#DIV/0!</v>
      </c>
      <c r="O125" s="80" t="str">
        <f t="shared" si="13"/>
        <v>BLANK</v>
      </c>
      <c r="P125" s="19"/>
      <c r="Q125" s="19"/>
      <c r="R125" s="81" t="str">
        <f t="shared" si="14"/>
        <v>BLANK</v>
      </c>
      <c r="S125" s="82" t="e">
        <f t="shared" si="19"/>
        <v>#VALUE!</v>
      </c>
      <c r="T125" s="83"/>
      <c r="U125" s="83"/>
      <c r="V125" s="83"/>
      <c r="W125" s="113">
        <f t="shared" si="20"/>
        <v>0</v>
      </c>
      <c r="AA125" s="75"/>
      <c r="AB125" s="44"/>
    </row>
    <row r="126" spans="1:28" ht="15">
      <c r="A126" s="15">
        <f t="shared" si="16"/>
        <v>113</v>
      </c>
      <c r="B126" s="15"/>
      <c r="C126" s="16"/>
      <c r="D126" s="75"/>
      <c r="E126" s="16"/>
      <c r="F126" s="17"/>
      <c r="G126" s="75"/>
      <c r="H126" s="75"/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7"/>
      <c r="K126" s="38"/>
      <c r="L126" s="36"/>
      <c r="M126" s="78" t="e">
        <f t="shared" si="17"/>
        <v>#DIV/0!</v>
      </c>
      <c r="N126" s="79" t="e">
        <f t="shared" si="18"/>
        <v>#DIV/0!</v>
      </c>
      <c r="O126" s="80" t="str">
        <f t="shared" si="13"/>
        <v>BLANK</v>
      </c>
      <c r="P126" s="19"/>
      <c r="Q126" s="19"/>
      <c r="R126" s="81" t="str">
        <f t="shared" si="14"/>
        <v>BLANK</v>
      </c>
      <c r="S126" s="82" t="e">
        <f t="shared" si="19"/>
        <v>#VALUE!</v>
      </c>
      <c r="T126" s="83"/>
      <c r="U126" s="83"/>
      <c r="V126" s="83"/>
      <c r="W126" s="113">
        <f t="shared" si="20"/>
        <v>0</v>
      </c>
      <c r="AA126" s="75"/>
      <c r="AB126" s="44"/>
    </row>
    <row r="127" spans="1:28" ht="15">
      <c r="A127" s="15">
        <f t="shared" si="16"/>
        <v>114</v>
      </c>
      <c r="B127" s="15"/>
      <c r="C127" s="16"/>
      <c r="D127" s="75"/>
      <c r="E127" s="16"/>
      <c r="F127" s="17"/>
      <c r="G127" s="75"/>
      <c r="H127" s="75"/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7"/>
      <c r="K127" s="38"/>
      <c r="L127" s="36"/>
      <c r="M127" s="78" t="e">
        <f t="shared" si="17"/>
        <v>#DIV/0!</v>
      </c>
      <c r="N127" s="79" t="e">
        <f t="shared" si="18"/>
        <v>#DIV/0!</v>
      </c>
      <c r="O127" s="80" t="str">
        <f t="shared" si="13"/>
        <v>BLANK</v>
      </c>
      <c r="P127" s="19"/>
      <c r="Q127" s="19"/>
      <c r="R127" s="81" t="str">
        <f t="shared" si="14"/>
        <v>BLANK</v>
      </c>
      <c r="S127" s="82" t="e">
        <f t="shared" si="19"/>
        <v>#VALUE!</v>
      </c>
      <c r="T127" s="83"/>
      <c r="U127" s="83"/>
      <c r="V127" s="83"/>
      <c r="W127" s="113">
        <f t="shared" si="20"/>
        <v>0</v>
      </c>
      <c r="AA127" s="75"/>
      <c r="AB127" s="44"/>
    </row>
    <row r="128" spans="1:28" ht="15">
      <c r="A128" s="15">
        <f t="shared" si="16"/>
        <v>115</v>
      </c>
      <c r="B128" s="15"/>
      <c r="C128" s="16"/>
      <c r="D128" s="75"/>
      <c r="E128" s="16"/>
      <c r="F128" s="17"/>
      <c r="G128" s="75"/>
      <c r="H128" s="75"/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7"/>
      <c r="K128" s="38"/>
      <c r="L128" s="36"/>
      <c r="M128" s="78" t="e">
        <f t="shared" si="17"/>
        <v>#DIV/0!</v>
      </c>
      <c r="N128" s="79" t="e">
        <f t="shared" si="18"/>
        <v>#DIV/0!</v>
      </c>
      <c r="O128" s="80" t="str">
        <f t="shared" si="13"/>
        <v>BLANK</v>
      </c>
      <c r="P128" s="19"/>
      <c r="Q128" s="19"/>
      <c r="R128" s="81" t="str">
        <f t="shared" si="14"/>
        <v>BLANK</v>
      </c>
      <c r="S128" s="82" t="e">
        <f t="shared" si="19"/>
        <v>#VALUE!</v>
      </c>
      <c r="T128" s="83"/>
      <c r="U128" s="83"/>
      <c r="V128" s="83"/>
      <c r="W128" s="113">
        <f t="shared" si="20"/>
        <v>0</v>
      </c>
      <c r="AA128" s="75"/>
      <c r="AB128" s="44"/>
    </row>
    <row r="129" spans="1:28" ht="15">
      <c r="A129" s="15">
        <f t="shared" si="16"/>
        <v>116</v>
      </c>
      <c r="B129" s="15"/>
      <c r="C129" s="16"/>
      <c r="D129" s="75"/>
      <c r="E129" s="16"/>
      <c r="F129" s="17"/>
      <c r="G129" s="75"/>
      <c r="H129" s="75"/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7"/>
      <c r="K129" s="37"/>
      <c r="L129" s="35"/>
      <c r="M129" s="78" t="e">
        <f t="shared" si="17"/>
        <v>#DIV/0!</v>
      </c>
      <c r="N129" s="79" t="e">
        <f t="shared" si="18"/>
        <v>#DIV/0!</v>
      </c>
      <c r="O129" s="80" t="str">
        <f t="shared" si="13"/>
        <v>BLANK</v>
      </c>
      <c r="P129" s="19"/>
      <c r="Q129" s="19"/>
      <c r="R129" s="81" t="str">
        <f t="shared" si="14"/>
        <v>BLANK</v>
      </c>
      <c r="S129" s="82" t="e">
        <f t="shared" si="19"/>
        <v>#VALUE!</v>
      </c>
      <c r="T129" s="83"/>
      <c r="U129" s="83"/>
      <c r="V129" s="83"/>
      <c r="W129" s="113">
        <f t="shared" si="20"/>
        <v>0</v>
      </c>
      <c r="AA129" s="75"/>
      <c r="AB129" s="44"/>
    </row>
    <row r="130" spans="1:28" ht="15">
      <c r="A130" s="15">
        <f t="shared" si="16"/>
        <v>117</v>
      </c>
      <c r="B130" s="15"/>
      <c r="C130" s="16"/>
      <c r="D130" s="75"/>
      <c r="E130" s="16"/>
      <c r="F130" s="17"/>
      <c r="G130" s="75"/>
      <c r="H130" s="75"/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7"/>
      <c r="K130" s="38"/>
      <c r="L130" s="36"/>
      <c r="M130" s="78" t="e">
        <f t="shared" si="17"/>
        <v>#DIV/0!</v>
      </c>
      <c r="N130" s="79" t="e">
        <f t="shared" si="18"/>
        <v>#DIV/0!</v>
      </c>
      <c r="O130" s="80" t="str">
        <f t="shared" si="13"/>
        <v>BLANK</v>
      </c>
      <c r="P130" s="19"/>
      <c r="Q130" s="19"/>
      <c r="R130" s="81" t="str">
        <f t="shared" si="14"/>
        <v>BLANK</v>
      </c>
      <c r="S130" s="82" t="e">
        <f t="shared" si="19"/>
        <v>#VALUE!</v>
      </c>
      <c r="T130" s="83"/>
      <c r="U130" s="83"/>
      <c r="V130" s="83"/>
      <c r="W130" s="113">
        <f t="shared" si="20"/>
        <v>0</v>
      </c>
      <c r="AA130" s="75"/>
      <c r="AB130" s="44"/>
    </row>
    <row r="131" spans="1:28" ht="15">
      <c r="A131" s="15">
        <f t="shared" si="16"/>
        <v>118</v>
      </c>
      <c r="B131" s="15"/>
      <c r="C131" s="16"/>
      <c r="D131" s="75"/>
      <c r="E131" s="16"/>
      <c r="F131" s="17"/>
      <c r="G131" s="75"/>
      <c r="H131" s="75"/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7"/>
      <c r="K131" s="38"/>
      <c r="L131" s="36"/>
      <c r="M131" s="78" t="e">
        <f t="shared" si="17"/>
        <v>#DIV/0!</v>
      </c>
      <c r="N131" s="79" t="e">
        <f t="shared" si="18"/>
        <v>#DIV/0!</v>
      </c>
      <c r="O131" s="80" t="str">
        <f t="shared" si="13"/>
        <v>BLANK</v>
      </c>
      <c r="P131" s="19"/>
      <c r="Q131" s="19"/>
      <c r="R131" s="81" t="str">
        <f t="shared" si="14"/>
        <v>BLANK</v>
      </c>
      <c r="S131" s="82" t="e">
        <f t="shared" si="19"/>
        <v>#VALUE!</v>
      </c>
      <c r="T131" s="83"/>
      <c r="U131" s="83"/>
      <c r="V131" s="83"/>
      <c r="W131" s="113">
        <f t="shared" si="20"/>
        <v>0</v>
      </c>
      <c r="AA131" s="75"/>
      <c r="AB131" s="44"/>
    </row>
    <row r="132" spans="1:28" ht="15">
      <c r="A132" s="15">
        <f t="shared" si="16"/>
        <v>119</v>
      </c>
      <c r="B132" s="15"/>
      <c r="C132" s="16"/>
      <c r="D132" s="75"/>
      <c r="E132" s="16"/>
      <c r="F132" s="17"/>
      <c r="G132" s="75"/>
      <c r="H132" s="75"/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7"/>
      <c r="K132" s="38"/>
      <c r="L132" s="36"/>
      <c r="M132" s="78" t="e">
        <f t="shared" si="17"/>
        <v>#DIV/0!</v>
      </c>
      <c r="N132" s="79" t="e">
        <f t="shared" si="18"/>
        <v>#DIV/0!</v>
      </c>
      <c r="O132" s="80" t="str">
        <f t="shared" si="13"/>
        <v>BLANK</v>
      </c>
      <c r="P132" s="19"/>
      <c r="Q132" s="19"/>
      <c r="R132" s="81" t="str">
        <f t="shared" si="14"/>
        <v>BLANK</v>
      </c>
      <c r="S132" s="82" t="e">
        <f t="shared" si="19"/>
        <v>#VALUE!</v>
      </c>
      <c r="T132" s="83"/>
      <c r="U132" s="83"/>
      <c r="V132" s="83"/>
      <c r="W132" s="113">
        <f t="shared" si="20"/>
        <v>0</v>
      </c>
      <c r="AA132" s="75"/>
      <c r="AB132" s="44"/>
    </row>
    <row r="133" spans="1:28" ht="15">
      <c r="A133" s="15">
        <f t="shared" si="16"/>
        <v>120</v>
      </c>
      <c r="B133" s="15"/>
      <c r="C133" s="16"/>
      <c r="D133" s="75"/>
      <c r="E133" s="16"/>
      <c r="F133" s="17"/>
      <c r="G133" s="75"/>
      <c r="H133" s="75"/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7"/>
      <c r="K133" s="37"/>
      <c r="L133" s="35"/>
      <c r="M133" s="78" t="e">
        <f t="shared" si="17"/>
        <v>#DIV/0!</v>
      </c>
      <c r="N133" s="79" t="e">
        <f t="shared" si="18"/>
        <v>#DIV/0!</v>
      </c>
      <c r="O133" s="80" t="str">
        <f t="shared" si="13"/>
        <v>BLANK</v>
      </c>
      <c r="P133" s="19"/>
      <c r="Q133" s="19"/>
      <c r="R133" s="81" t="str">
        <f t="shared" si="14"/>
        <v>BLANK</v>
      </c>
      <c r="S133" s="82" t="e">
        <f t="shared" si="19"/>
        <v>#VALUE!</v>
      </c>
      <c r="T133" s="83"/>
      <c r="U133" s="83"/>
      <c r="V133" s="83"/>
      <c r="W133" s="113">
        <f t="shared" si="20"/>
        <v>0</v>
      </c>
      <c r="AA133" s="75"/>
      <c r="AB133" s="44"/>
    </row>
    <row r="134" spans="1:28" ht="15">
      <c r="A134" s="15">
        <f t="shared" si="16"/>
        <v>121</v>
      </c>
      <c r="B134" s="15"/>
      <c r="C134" s="16"/>
      <c r="D134" s="75"/>
      <c r="E134" s="16"/>
      <c r="F134" s="17"/>
      <c r="G134" s="75"/>
      <c r="H134" s="75"/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37"/>
      <c r="K134" s="37"/>
      <c r="L134" s="35"/>
      <c r="M134" s="78" t="e">
        <f t="shared" si="17"/>
        <v>#DIV/0!</v>
      </c>
      <c r="N134" s="79" t="e">
        <f t="shared" si="18"/>
        <v>#DIV/0!</v>
      </c>
      <c r="O134" s="80" t="str">
        <f t="shared" si="13"/>
        <v>BLANK</v>
      </c>
      <c r="P134" s="19"/>
      <c r="Q134" s="19"/>
      <c r="R134" s="81" t="str">
        <f t="shared" si="14"/>
        <v>BLANK</v>
      </c>
      <c r="S134" s="82" t="e">
        <f t="shared" si="19"/>
        <v>#VALUE!</v>
      </c>
      <c r="T134" s="83"/>
      <c r="U134" s="83"/>
      <c r="V134" s="83"/>
      <c r="W134" s="113">
        <f t="shared" si="20"/>
        <v>0</v>
      </c>
      <c r="AA134" s="75"/>
      <c r="AB134" s="44"/>
    </row>
    <row r="135" spans="1:28" ht="15">
      <c r="A135" s="15">
        <f t="shared" si="16"/>
        <v>122</v>
      </c>
      <c r="B135" s="15"/>
      <c r="C135" s="16"/>
      <c r="D135" s="75"/>
      <c r="E135" s="16"/>
      <c r="F135" s="17"/>
      <c r="G135" s="75"/>
      <c r="H135" s="75"/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8"/>
      <c r="K135" s="1"/>
      <c r="L135" s="36"/>
      <c r="M135" s="78" t="e">
        <f t="shared" si="17"/>
        <v>#DIV/0!</v>
      </c>
      <c r="N135" s="79" t="e">
        <f t="shared" si="18"/>
        <v>#DIV/0!</v>
      </c>
      <c r="O135" s="80" t="str">
        <f t="shared" si="13"/>
        <v>BLANK</v>
      </c>
      <c r="P135" s="19"/>
      <c r="Q135" s="19"/>
      <c r="R135" s="81" t="str">
        <f t="shared" si="14"/>
        <v>BLANK</v>
      </c>
      <c r="S135" s="82" t="e">
        <f t="shared" si="19"/>
        <v>#VALUE!</v>
      </c>
      <c r="T135" s="83"/>
      <c r="U135" s="83"/>
      <c r="V135" s="83"/>
      <c r="W135" s="113">
        <f t="shared" si="20"/>
        <v>0</v>
      </c>
      <c r="AA135" s="75"/>
      <c r="AB135" s="44"/>
    </row>
    <row r="136" spans="1:28" ht="15">
      <c r="A136" s="15">
        <f t="shared" si="16"/>
        <v>123</v>
      </c>
      <c r="B136" s="15"/>
      <c r="C136" s="16"/>
      <c r="D136" s="75"/>
      <c r="E136" s="16"/>
      <c r="F136" s="17"/>
      <c r="G136" s="75"/>
      <c r="H136" s="75"/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8"/>
      <c r="K136" s="18"/>
      <c r="L136" s="35"/>
      <c r="M136" s="78" t="e">
        <f t="shared" si="17"/>
        <v>#DIV/0!</v>
      </c>
      <c r="N136" s="79" t="e">
        <f t="shared" si="18"/>
        <v>#DIV/0!</v>
      </c>
      <c r="O136" s="80" t="str">
        <f t="shared" si="13"/>
        <v>BLANK</v>
      </c>
      <c r="P136" s="19"/>
      <c r="Q136" s="19"/>
      <c r="R136" s="81" t="str">
        <f t="shared" si="14"/>
        <v>BLANK</v>
      </c>
      <c r="S136" s="82" t="e">
        <f t="shared" si="19"/>
        <v>#VALUE!</v>
      </c>
      <c r="T136" s="83"/>
      <c r="U136" s="83"/>
      <c r="V136" s="83"/>
      <c r="W136" s="113">
        <f t="shared" si="20"/>
        <v>0</v>
      </c>
      <c r="AA136" s="75"/>
      <c r="AB136" s="44"/>
    </row>
    <row r="137" spans="1:28" ht="15">
      <c r="A137" s="15">
        <f t="shared" si="16"/>
        <v>124</v>
      </c>
      <c r="B137" s="15"/>
      <c r="C137" s="16"/>
      <c r="D137" s="75"/>
      <c r="E137" s="16"/>
      <c r="F137" s="17"/>
      <c r="G137" s="75"/>
      <c r="H137" s="75"/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8"/>
      <c r="K137" s="18"/>
      <c r="L137" s="35"/>
      <c r="M137" s="78" t="e">
        <f t="shared" si="17"/>
        <v>#DIV/0!</v>
      </c>
      <c r="N137" s="79" t="e">
        <f t="shared" si="18"/>
        <v>#DIV/0!</v>
      </c>
      <c r="O137" s="80" t="str">
        <f t="shared" si="13"/>
        <v>BLANK</v>
      </c>
      <c r="P137" s="19"/>
      <c r="Q137" s="19"/>
      <c r="R137" s="81" t="str">
        <f t="shared" si="14"/>
        <v>BLANK</v>
      </c>
      <c r="S137" s="82" t="e">
        <f t="shared" si="19"/>
        <v>#VALUE!</v>
      </c>
      <c r="T137" s="83"/>
      <c r="U137" s="83"/>
      <c r="V137" s="83"/>
      <c r="W137" s="113">
        <f t="shared" si="20"/>
        <v>0</v>
      </c>
      <c r="AA137" s="75"/>
      <c r="AB137" s="44"/>
    </row>
    <row r="138" spans="1:28" ht="15">
      <c r="A138" s="15">
        <f t="shared" si="16"/>
        <v>125</v>
      </c>
      <c r="B138" s="15"/>
      <c r="C138" s="16"/>
      <c r="D138" s="75"/>
      <c r="E138" s="16"/>
      <c r="F138" s="17"/>
      <c r="G138" s="75"/>
      <c r="H138" s="75"/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8"/>
      <c r="K138" s="1"/>
      <c r="L138" s="36"/>
      <c r="M138" s="78" t="e">
        <f t="shared" si="17"/>
        <v>#DIV/0!</v>
      </c>
      <c r="N138" s="79" t="e">
        <f t="shared" si="18"/>
        <v>#DIV/0!</v>
      </c>
      <c r="O138" s="80" t="str">
        <f t="shared" si="13"/>
        <v>BLANK</v>
      </c>
      <c r="P138" s="19"/>
      <c r="Q138" s="19"/>
      <c r="R138" s="81" t="str">
        <f t="shared" si="14"/>
        <v>BLANK</v>
      </c>
      <c r="S138" s="82" t="e">
        <f t="shared" si="19"/>
        <v>#VALUE!</v>
      </c>
      <c r="T138" s="83"/>
      <c r="U138" s="83"/>
      <c r="V138" s="83"/>
      <c r="W138" s="113">
        <f t="shared" si="20"/>
        <v>0</v>
      </c>
      <c r="AA138" s="75"/>
      <c r="AB138" s="44"/>
    </row>
    <row r="139" spans="1:28" ht="15">
      <c r="A139" s="15">
        <f t="shared" si="16"/>
        <v>126</v>
      </c>
      <c r="B139" s="15"/>
      <c r="C139" s="16"/>
      <c r="D139" s="75"/>
      <c r="E139" s="16"/>
      <c r="F139" s="17"/>
      <c r="G139" s="75"/>
      <c r="H139" s="75"/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8"/>
      <c r="K139" s="18"/>
      <c r="L139" s="35"/>
      <c r="M139" s="78" t="e">
        <f t="shared" si="17"/>
        <v>#DIV/0!</v>
      </c>
      <c r="N139" s="79" t="e">
        <f t="shared" si="18"/>
        <v>#DIV/0!</v>
      </c>
      <c r="O139" s="80" t="str">
        <f t="shared" si="13"/>
        <v>BLANK</v>
      </c>
      <c r="P139" s="19"/>
      <c r="Q139" s="19"/>
      <c r="R139" s="81" t="str">
        <f t="shared" si="14"/>
        <v>BLANK</v>
      </c>
      <c r="S139" s="82" t="e">
        <f t="shared" si="19"/>
        <v>#VALUE!</v>
      </c>
      <c r="T139" s="83"/>
      <c r="U139" s="83"/>
      <c r="V139" s="83"/>
      <c r="W139" s="113">
        <f t="shared" si="20"/>
        <v>0</v>
      </c>
      <c r="AA139" s="75"/>
      <c r="AB139" s="44"/>
    </row>
    <row r="140" spans="1:28" ht="15">
      <c r="A140" s="15">
        <f t="shared" si="16"/>
        <v>127</v>
      </c>
      <c r="B140" s="15"/>
      <c r="C140" s="16"/>
      <c r="D140" s="75"/>
      <c r="E140" s="16"/>
      <c r="F140" s="17"/>
      <c r="G140" s="75"/>
      <c r="H140" s="75"/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8"/>
      <c r="K140" s="1"/>
      <c r="L140" s="36"/>
      <c r="M140" s="78" t="e">
        <f t="shared" si="17"/>
        <v>#DIV/0!</v>
      </c>
      <c r="N140" s="79" t="e">
        <f t="shared" si="18"/>
        <v>#DIV/0!</v>
      </c>
      <c r="O140" s="80" t="str">
        <f t="shared" si="13"/>
        <v>BLANK</v>
      </c>
      <c r="P140" s="19"/>
      <c r="Q140" s="19"/>
      <c r="R140" s="81" t="str">
        <f t="shared" si="14"/>
        <v>BLANK</v>
      </c>
      <c r="S140" s="82" t="e">
        <f t="shared" si="19"/>
        <v>#VALUE!</v>
      </c>
      <c r="T140" s="83"/>
      <c r="U140" s="83"/>
      <c r="V140" s="83"/>
      <c r="W140" s="113">
        <f t="shared" si="20"/>
        <v>0</v>
      </c>
      <c r="AA140" s="75"/>
      <c r="AB140" s="44"/>
    </row>
    <row r="141" spans="1:28" ht="15">
      <c r="A141" s="15">
        <f t="shared" si="16"/>
        <v>128</v>
      </c>
      <c r="B141" s="15"/>
      <c r="C141" s="16"/>
      <c r="D141" s="75"/>
      <c r="E141" s="16"/>
      <c r="F141" s="17"/>
      <c r="G141" s="75"/>
      <c r="H141" s="75"/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8"/>
      <c r="K141" s="1"/>
      <c r="L141" s="36"/>
      <c r="M141" s="78" t="e">
        <f t="shared" si="17"/>
        <v>#DIV/0!</v>
      </c>
      <c r="N141" s="79" t="e">
        <f t="shared" si="18"/>
        <v>#DIV/0!</v>
      </c>
      <c r="O141" s="80" t="str">
        <f t="shared" ref="O141:O204" si="21">IF(K141=0,"BLANK",(J141-K141))</f>
        <v>BLANK</v>
      </c>
      <c r="P141" s="19"/>
      <c r="Q141" s="19"/>
      <c r="R141" s="81" t="str">
        <f t="shared" ref="R141:R204" si="22">IF(K141=0,"BLANK",SUM(P141:Q141))</f>
        <v>BLANK</v>
      </c>
      <c r="S141" s="82" t="e">
        <f t="shared" si="19"/>
        <v>#VALUE!</v>
      </c>
      <c r="T141" s="83"/>
      <c r="U141" s="83"/>
      <c r="V141" s="83"/>
      <c r="W141" s="113">
        <f t="shared" ref="W141:W172" si="23">IF(AND(F141&gt;0,F141&lt;=30),30,IF(AND(F141&gt;=31,F141&lt;=45),45,IF(AND(F141&gt;=46,F141&lt;=60),60,IF(AND(F141&gt;=61,F141&lt;=90),90,IF(F141&gt;=91,91,0)))))</f>
        <v>0</v>
      </c>
      <c r="AA141" s="75"/>
      <c r="AB141" s="44"/>
    </row>
    <row r="142" spans="1:28" ht="15">
      <c r="A142" s="15">
        <f t="shared" si="16"/>
        <v>129</v>
      </c>
      <c r="B142" s="15"/>
      <c r="C142" s="16"/>
      <c r="D142" s="75"/>
      <c r="E142" s="16"/>
      <c r="F142" s="17"/>
      <c r="G142" s="75"/>
      <c r="H142" s="75"/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8"/>
      <c r="K142" s="1"/>
      <c r="L142" s="36"/>
      <c r="M142" s="78" t="e">
        <f t="shared" si="17"/>
        <v>#DIV/0!</v>
      </c>
      <c r="N142" s="79" t="e">
        <f t="shared" si="18"/>
        <v>#DIV/0!</v>
      </c>
      <c r="O142" s="80" t="str">
        <f t="shared" si="21"/>
        <v>BLANK</v>
      </c>
      <c r="P142" s="19"/>
      <c r="Q142" s="19"/>
      <c r="R142" s="81" t="str">
        <f t="shared" si="22"/>
        <v>BLANK</v>
      </c>
      <c r="S142" s="82" t="e">
        <f t="shared" si="19"/>
        <v>#VALUE!</v>
      </c>
      <c r="T142" s="83"/>
      <c r="U142" s="83"/>
      <c r="V142" s="83"/>
      <c r="W142" s="113">
        <f t="shared" si="23"/>
        <v>0</v>
      </c>
      <c r="AA142" s="75"/>
      <c r="AB142" s="44"/>
    </row>
    <row r="143" spans="1:28" ht="15">
      <c r="A143" s="15">
        <f t="shared" ref="A143:A206" si="24">A142+1</f>
        <v>130</v>
      </c>
      <c r="B143" s="15"/>
      <c r="C143" s="16"/>
      <c r="D143" s="75"/>
      <c r="E143" s="16"/>
      <c r="F143" s="17"/>
      <c r="G143" s="75"/>
      <c r="H143" s="75"/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8"/>
      <c r="K143" s="18"/>
      <c r="L143" s="35"/>
      <c r="M143" s="78" t="e">
        <f t="shared" ref="M143:M206" si="25">J143/L143</f>
        <v>#DIV/0!</v>
      </c>
      <c r="N143" s="79" t="e">
        <f t="shared" ref="N143:N206" si="26">K143/M143</f>
        <v>#DIV/0!</v>
      </c>
      <c r="O143" s="80" t="str">
        <f t="shared" si="21"/>
        <v>BLANK</v>
      </c>
      <c r="P143" s="19"/>
      <c r="Q143" s="19"/>
      <c r="R143" s="81" t="str">
        <f t="shared" si="22"/>
        <v>BLANK</v>
      </c>
      <c r="S143" s="82" t="e">
        <f t="shared" ref="S143:S206" si="27">(R143/(K143-P143))*(360/F143)</f>
        <v>#VALUE!</v>
      </c>
      <c r="T143" s="83"/>
      <c r="U143" s="83"/>
      <c r="V143" s="83"/>
      <c r="W143" s="113">
        <f t="shared" si="23"/>
        <v>0</v>
      </c>
      <c r="AA143" s="75"/>
      <c r="AB143" s="44"/>
    </row>
    <row r="144" spans="1:28" ht="15">
      <c r="A144" s="15">
        <f t="shared" si="24"/>
        <v>131</v>
      </c>
      <c r="B144" s="15"/>
      <c r="C144" s="16"/>
      <c r="D144" s="75"/>
      <c r="E144" s="16"/>
      <c r="F144" s="17"/>
      <c r="G144" s="75"/>
      <c r="H144" s="75"/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8"/>
      <c r="K144" s="1"/>
      <c r="L144" s="36"/>
      <c r="M144" s="78" t="e">
        <f t="shared" si="25"/>
        <v>#DIV/0!</v>
      </c>
      <c r="N144" s="79" t="e">
        <f t="shared" si="26"/>
        <v>#DIV/0!</v>
      </c>
      <c r="O144" s="80" t="str">
        <f t="shared" si="21"/>
        <v>BLANK</v>
      </c>
      <c r="P144" s="19"/>
      <c r="Q144" s="19"/>
      <c r="R144" s="81" t="str">
        <f t="shared" si="22"/>
        <v>BLANK</v>
      </c>
      <c r="S144" s="82" t="e">
        <f t="shared" si="27"/>
        <v>#VALUE!</v>
      </c>
      <c r="T144" s="83"/>
      <c r="U144" s="83"/>
      <c r="V144" s="83"/>
      <c r="W144" s="113">
        <f t="shared" si="23"/>
        <v>0</v>
      </c>
      <c r="AA144" s="75"/>
      <c r="AB144" s="44"/>
    </row>
    <row r="145" spans="1:28" ht="15">
      <c r="A145" s="15">
        <f t="shared" si="24"/>
        <v>132</v>
      </c>
      <c r="B145" s="15"/>
      <c r="C145" s="16"/>
      <c r="D145" s="75"/>
      <c r="E145" s="16"/>
      <c r="F145" s="17"/>
      <c r="G145" s="75"/>
      <c r="H145" s="75"/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8"/>
      <c r="K145" s="1"/>
      <c r="L145" s="36"/>
      <c r="M145" s="78" t="e">
        <f t="shared" si="25"/>
        <v>#DIV/0!</v>
      </c>
      <c r="N145" s="79" t="e">
        <f t="shared" si="26"/>
        <v>#DIV/0!</v>
      </c>
      <c r="O145" s="80" t="str">
        <f t="shared" si="21"/>
        <v>BLANK</v>
      </c>
      <c r="P145" s="19"/>
      <c r="Q145" s="19"/>
      <c r="R145" s="81" t="str">
        <f t="shared" si="22"/>
        <v>BLANK</v>
      </c>
      <c r="S145" s="82" t="e">
        <f t="shared" si="27"/>
        <v>#VALUE!</v>
      </c>
      <c r="T145" s="83"/>
      <c r="U145" s="83"/>
      <c r="V145" s="83"/>
      <c r="W145" s="113">
        <f t="shared" si="23"/>
        <v>0</v>
      </c>
      <c r="AA145" s="75"/>
      <c r="AB145" s="44"/>
    </row>
    <row r="146" spans="1:28" ht="15">
      <c r="A146" s="15">
        <f t="shared" si="24"/>
        <v>133</v>
      </c>
      <c r="B146" s="15"/>
      <c r="C146" s="16"/>
      <c r="D146" s="75"/>
      <c r="E146" s="16"/>
      <c r="F146" s="17"/>
      <c r="G146" s="75"/>
      <c r="H146" s="75"/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8"/>
      <c r="K146" s="1"/>
      <c r="L146" s="36"/>
      <c r="M146" s="78" t="e">
        <f t="shared" si="25"/>
        <v>#DIV/0!</v>
      </c>
      <c r="N146" s="79" t="e">
        <f t="shared" si="26"/>
        <v>#DIV/0!</v>
      </c>
      <c r="O146" s="80" t="str">
        <f t="shared" si="21"/>
        <v>BLANK</v>
      </c>
      <c r="P146" s="19"/>
      <c r="Q146" s="19"/>
      <c r="R146" s="81" t="str">
        <f t="shared" si="22"/>
        <v>BLANK</v>
      </c>
      <c r="S146" s="82" t="e">
        <f t="shared" si="27"/>
        <v>#VALUE!</v>
      </c>
      <c r="T146" s="83"/>
      <c r="U146" s="83"/>
      <c r="V146" s="83"/>
      <c r="W146" s="113">
        <f t="shared" si="23"/>
        <v>0</v>
      </c>
      <c r="AA146" s="75"/>
      <c r="AB146" s="44"/>
    </row>
    <row r="147" spans="1:28" ht="15">
      <c r="A147" s="15">
        <f t="shared" si="24"/>
        <v>134</v>
      </c>
      <c r="B147" s="15"/>
      <c r="C147" s="16"/>
      <c r="D147" s="75"/>
      <c r="E147" s="16"/>
      <c r="F147" s="17"/>
      <c r="G147" s="75"/>
      <c r="H147" s="75"/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8"/>
      <c r="K147" s="1"/>
      <c r="L147" s="36"/>
      <c r="M147" s="78" t="e">
        <f t="shared" si="25"/>
        <v>#DIV/0!</v>
      </c>
      <c r="N147" s="79" t="e">
        <f t="shared" si="26"/>
        <v>#DIV/0!</v>
      </c>
      <c r="O147" s="80" t="str">
        <f t="shared" si="21"/>
        <v>BLANK</v>
      </c>
      <c r="P147" s="19"/>
      <c r="Q147" s="19"/>
      <c r="R147" s="81" t="str">
        <f t="shared" si="22"/>
        <v>BLANK</v>
      </c>
      <c r="S147" s="82" t="e">
        <f t="shared" si="27"/>
        <v>#VALUE!</v>
      </c>
      <c r="T147" s="83"/>
      <c r="U147" s="83"/>
      <c r="V147" s="83"/>
      <c r="W147" s="113">
        <f t="shared" si="23"/>
        <v>0</v>
      </c>
      <c r="AA147" s="75"/>
      <c r="AB147" s="44"/>
    </row>
    <row r="148" spans="1:28" ht="15">
      <c r="A148" s="15">
        <f t="shared" si="24"/>
        <v>135</v>
      </c>
      <c r="B148" s="15"/>
      <c r="C148" s="16"/>
      <c r="D148" s="75"/>
      <c r="E148" s="16"/>
      <c r="F148" s="17"/>
      <c r="G148" s="75"/>
      <c r="H148" s="75"/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8"/>
      <c r="K148" s="18"/>
      <c r="L148" s="35"/>
      <c r="M148" s="78" t="e">
        <f t="shared" si="25"/>
        <v>#DIV/0!</v>
      </c>
      <c r="N148" s="79" t="e">
        <f t="shared" si="26"/>
        <v>#DIV/0!</v>
      </c>
      <c r="O148" s="80" t="str">
        <f t="shared" si="21"/>
        <v>BLANK</v>
      </c>
      <c r="P148" s="19"/>
      <c r="Q148" s="19"/>
      <c r="R148" s="81" t="str">
        <f t="shared" si="22"/>
        <v>BLANK</v>
      </c>
      <c r="S148" s="82" t="e">
        <f t="shared" si="27"/>
        <v>#VALUE!</v>
      </c>
      <c r="T148" s="83"/>
      <c r="U148" s="83"/>
      <c r="V148" s="83"/>
      <c r="W148" s="113">
        <f t="shared" si="23"/>
        <v>0</v>
      </c>
      <c r="AA148" s="75"/>
      <c r="AB148" s="44"/>
    </row>
    <row r="149" spans="1:28" ht="15">
      <c r="A149" s="15">
        <f t="shared" si="24"/>
        <v>136</v>
      </c>
      <c r="B149" s="15"/>
      <c r="C149" s="16"/>
      <c r="D149" s="75"/>
      <c r="E149" s="16"/>
      <c r="F149" s="17"/>
      <c r="G149" s="75"/>
      <c r="H149" s="75"/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8"/>
      <c r="K149" s="1"/>
      <c r="L149" s="36"/>
      <c r="M149" s="78" t="e">
        <f t="shared" si="25"/>
        <v>#DIV/0!</v>
      </c>
      <c r="N149" s="79" t="e">
        <f t="shared" si="26"/>
        <v>#DIV/0!</v>
      </c>
      <c r="O149" s="80" t="str">
        <f t="shared" si="21"/>
        <v>BLANK</v>
      </c>
      <c r="P149" s="19"/>
      <c r="Q149" s="19"/>
      <c r="R149" s="81" t="str">
        <f t="shared" si="22"/>
        <v>BLANK</v>
      </c>
      <c r="S149" s="82" t="e">
        <f t="shared" si="27"/>
        <v>#VALUE!</v>
      </c>
      <c r="T149" s="83"/>
      <c r="U149" s="83"/>
      <c r="V149" s="83"/>
      <c r="W149" s="113">
        <f t="shared" si="23"/>
        <v>0</v>
      </c>
      <c r="AA149" s="75"/>
      <c r="AB149" s="44"/>
    </row>
    <row r="150" spans="1:28" ht="15">
      <c r="A150" s="15">
        <f t="shared" si="24"/>
        <v>137</v>
      </c>
      <c r="B150" s="15"/>
      <c r="C150" s="16"/>
      <c r="D150" s="75"/>
      <c r="E150" s="16"/>
      <c r="F150" s="17"/>
      <c r="G150" s="75"/>
      <c r="H150" s="75"/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8"/>
      <c r="K150" s="1"/>
      <c r="L150" s="36"/>
      <c r="M150" s="78" t="e">
        <f t="shared" si="25"/>
        <v>#DIV/0!</v>
      </c>
      <c r="N150" s="79" t="e">
        <f t="shared" si="26"/>
        <v>#DIV/0!</v>
      </c>
      <c r="O150" s="80" t="str">
        <f t="shared" si="21"/>
        <v>BLANK</v>
      </c>
      <c r="P150" s="19"/>
      <c r="Q150" s="19"/>
      <c r="R150" s="81" t="str">
        <f t="shared" si="22"/>
        <v>BLANK</v>
      </c>
      <c r="S150" s="82" t="e">
        <f t="shared" si="27"/>
        <v>#VALUE!</v>
      </c>
      <c r="T150" s="83"/>
      <c r="U150" s="83"/>
      <c r="V150" s="83"/>
      <c r="W150" s="113">
        <f t="shared" si="23"/>
        <v>0</v>
      </c>
      <c r="AA150" s="75"/>
      <c r="AB150" s="44"/>
    </row>
    <row r="151" spans="1:28" ht="15">
      <c r="A151" s="15">
        <f t="shared" si="24"/>
        <v>138</v>
      </c>
      <c r="B151" s="15"/>
      <c r="C151" s="16"/>
      <c r="D151" s="75"/>
      <c r="E151" s="16"/>
      <c r="F151" s="17"/>
      <c r="G151" s="75"/>
      <c r="H151" s="75"/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8"/>
      <c r="K151" s="18"/>
      <c r="L151" s="35"/>
      <c r="M151" s="78" t="e">
        <f t="shared" si="25"/>
        <v>#DIV/0!</v>
      </c>
      <c r="N151" s="79" t="e">
        <f t="shared" si="26"/>
        <v>#DIV/0!</v>
      </c>
      <c r="O151" s="80" t="str">
        <f t="shared" si="21"/>
        <v>BLANK</v>
      </c>
      <c r="P151" s="19"/>
      <c r="Q151" s="19"/>
      <c r="R151" s="81" t="str">
        <f t="shared" si="22"/>
        <v>BLANK</v>
      </c>
      <c r="S151" s="82" t="e">
        <f t="shared" si="27"/>
        <v>#VALUE!</v>
      </c>
      <c r="T151" s="83"/>
      <c r="U151" s="83"/>
      <c r="V151" s="83"/>
      <c r="W151" s="113">
        <f t="shared" si="23"/>
        <v>0</v>
      </c>
      <c r="AA151" s="75"/>
      <c r="AB151" s="44"/>
    </row>
    <row r="152" spans="1:28" ht="15">
      <c r="A152" s="15">
        <f t="shared" si="24"/>
        <v>139</v>
      </c>
      <c r="B152" s="15"/>
      <c r="C152" s="16"/>
      <c r="D152" s="75"/>
      <c r="E152" s="16"/>
      <c r="F152" s="17"/>
      <c r="G152" s="75"/>
      <c r="H152" s="75"/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8"/>
      <c r="K152" s="18"/>
      <c r="L152" s="35"/>
      <c r="M152" s="78" t="e">
        <f t="shared" si="25"/>
        <v>#DIV/0!</v>
      </c>
      <c r="N152" s="79" t="e">
        <f t="shared" si="26"/>
        <v>#DIV/0!</v>
      </c>
      <c r="O152" s="80" t="str">
        <f t="shared" si="21"/>
        <v>BLANK</v>
      </c>
      <c r="P152" s="19"/>
      <c r="Q152" s="19"/>
      <c r="R152" s="81" t="str">
        <f t="shared" si="22"/>
        <v>BLANK</v>
      </c>
      <c r="S152" s="82" t="e">
        <f t="shared" si="27"/>
        <v>#VALUE!</v>
      </c>
      <c r="T152" s="83"/>
      <c r="U152" s="83"/>
      <c r="V152" s="83"/>
      <c r="W152" s="113">
        <f t="shared" si="23"/>
        <v>0</v>
      </c>
      <c r="AA152" s="75"/>
      <c r="AB152" s="44"/>
    </row>
    <row r="153" spans="1:28" ht="15">
      <c r="A153" s="15">
        <f t="shared" si="24"/>
        <v>140</v>
      </c>
      <c r="B153" s="15"/>
      <c r="C153" s="16"/>
      <c r="D153" s="75"/>
      <c r="E153" s="16"/>
      <c r="F153" s="17"/>
      <c r="G153" s="75"/>
      <c r="H153" s="75"/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8"/>
      <c r="K153" s="18"/>
      <c r="L153" s="35"/>
      <c r="M153" s="78" t="e">
        <f t="shared" si="25"/>
        <v>#DIV/0!</v>
      </c>
      <c r="N153" s="79" t="e">
        <f t="shared" si="26"/>
        <v>#DIV/0!</v>
      </c>
      <c r="O153" s="80" t="str">
        <f t="shared" si="21"/>
        <v>BLANK</v>
      </c>
      <c r="P153" s="19"/>
      <c r="Q153" s="19"/>
      <c r="R153" s="81" t="str">
        <f t="shared" si="22"/>
        <v>BLANK</v>
      </c>
      <c r="S153" s="82" t="e">
        <f t="shared" si="27"/>
        <v>#VALUE!</v>
      </c>
      <c r="T153" s="83"/>
      <c r="U153" s="83"/>
      <c r="V153" s="83"/>
      <c r="W153" s="113">
        <f t="shared" si="23"/>
        <v>0</v>
      </c>
      <c r="AA153" s="75"/>
      <c r="AB153" s="44"/>
    </row>
    <row r="154" spans="1:28" ht="15">
      <c r="A154" s="15">
        <f t="shared" si="24"/>
        <v>141</v>
      </c>
      <c r="B154" s="15"/>
      <c r="C154" s="16"/>
      <c r="D154" s="75"/>
      <c r="E154" s="16"/>
      <c r="F154" s="17"/>
      <c r="G154" s="75"/>
      <c r="H154" s="75"/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8"/>
      <c r="K154" s="18"/>
      <c r="L154" s="35"/>
      <c r="M154" s="78" t="e">
        <f t="shared" si="25"/>
        <v>#DIV/0!</v>
      </c>
      <c r="N154" s="79" t="e">
        <f t="shared" si="26"/>
        <v>#DIV/0!</v>
      </c>
      <c r="O154" s="80" t="str">
        <f t="shared" si="21"/>
        <v>BLANK</v>
      </c>
      <c r="P154" s="19"/>
      <c r="Q154" s="19"/>
      <c r="R154" s="81" t="str">
        <f t="shared" si="22"/>
        <v>BLANK</v>
      </c>
      <c r="S154" s="82" t="e">
        <f t="shared" si="27"/>
        <v>#VALUE!</v>
      </c>
      <c r="T154" s="83"/>
      <c r="U154" s="83"/>
      <c r="V154" s="83"/>
      <c r="W154" s="113">
        <f t="shared" si="23"/>
        <v>0</v>
      </c>
      <c r="AA154" s="75"/>
      <c r="AB154" s="44"/>
    </row>
    <row r="155" spans="1:28" ht="15">
      <c r="A155" s="15">
        <f t="shared" si="24"/>
        <v>142</v>
      </c>
      <c r="B155" s="15"/>
      <c r="C155" s="16"/>
      <c r="D155" s="75"/>
      <c r="E155" s="16"/>
      <c r="F155" s="17"/>
      <c r="G155" s="75"/>
      <c r="H155" s="75"/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8"/>
      <c r="K155" s="18"/>
      <c r="L155" s="35"/>
      <c r="M155" s="78" t="e">
        <f t="shared" si="25"/>
        <v>#DIV/0!</v>
      </c>
      <c r="N155" s="79" t="e">
        <f t="shared" si="26"/>
        <v>#DIV/0!</v>
      </c>
      <c r="O155" s="80" t="str">
        <f t="shared" si="21"/>
        <v>BLANK</v>
      </c>
      <c r="P155" s="19"/>
      <c r="Q155" s="19"/>
      <c r="R155" s="81" t="str">
        <f t="shared" si="22"/>
        <v>BLANK</v>
      </c>
      <c r="S155" s="82" t="e">
        <f t="shared" si="27"/>
        <v>#VALUE!</v>
      </c>
      <c r="T155" s="83"/>
      <c r="U155" s="83"/>
      <c r="V155" s="83"/>
      <c r="W155" s="113">
        <f t="shared" si="23"/>
        <v>0</v>
      </c>
      <c r="AA155" s="75"/>
      <c r="AB155" s="44"/>
    </row>
    <row r="156" spans="1:28" ht="15">
      <c r="A156" s="15">
        <f t="shared" si="24"/>
        <v>143</v>
      </c>
      <c r="B156" s="15"/>
      <c r="C156" s="16"/>
      <c r="D156" s="75"/>
      <c r="E156" s="16"/>
      <c r="F156" s="17"/>
      <c r="G156" s="75"/>
      <c r="H156" s="75"/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8"/>
      <c r="K156" s="18"/>
      <c r="L156" s="35"/>
      <c r="M156" s="78" t="e">
        <f t="shared" si="25"/>
        <v>#DIV/0!</v>
      </c>
      <c r="N156" s="79" t="e">
        <f t="shared" si="26"/>
        <v>#DIV/0!</v>
      </c>
      <c r="O156" s="80" t="str">
        <f t="shared" si="21"/>
        <v>BLANK</v>
      </c>
      <c r="P156" s="19"/>
      <c r="Q156" s="19"/>
      <c r="R156" s="81" t="str">
        <f t="shared" si="22"/>
        <v>BLANK</v>
      </c>
      <c r="S156" s="82" t="e">
        <f t="shared" si="27"/>
        <v>#VALUE!</v>
      </c>
      <c r="T156" s="83"/>
      <c r="U156" s="83"/>
      <c r="V156" s="83"/>
      <c r="W156" s="113">
        <f t="shared" si="23"/>
        <v>0</v>
      </c>
      <c r="AA156" s="75"/>
      <c r="AB156" s="44"/>
    </row>
    <row r="157" spans="1:28" ht="15">
      <c r="A157" s="15">
        <f t="shared" si="24"/>
        <v>144</v>
      </c>
      <c r="B157" s="15"/>
      <c r="C157" s="16"/>
      <c r="D157" s="75"/>
      <c r="E157" s="16"/>
      <c r="F157" s="17"/>
      <c r="G157" s="75"/>
      <c r="H157" s="75"/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8"/>
      <c r="K157" s="18"/>
      <c r="L157" s="35"/>
      <c r="M157" s="78" t="e">
        <f t="shared" si="25"/>
        <v>#DIV/0!</v>
      </c>
      <c r="N157" s="79" t="e">
        <f t="shared" si="26"/>
        <v>#DIV/0!</v>
      </c>
      <c r="O157" s="80" t="str">
        <f t="shared" si="21"/>
        <v>BLANK</v>
      </c>
      <c r="P157" s="19"/>
      <c r="Q157" s="19"/>
      <c r="R157" s="81" t="str">
        <f t="shared" si="22"/>
        <v>BLANK</v>
      </c>
      <c r="S157" s="82" t="e">
        <f t="shared" si="27"/>
        <v>#VALUE!</v>
      </c>
      <c r="T157" s="83"/>
      <c r="U157" s="83"/>
      <c r="V157" s="83"/>
      <c r="W157" s="113">
        <f t="shared" si="23"/>
        <v>0</v>
      </c>
      <c r="AA157" s="75"/>
      <c r="AB157" s="44"/>
    </row>
    <row r="158" spans="1:28" ht="15">
      <c r="A158" s="15">
        <f t="shared" si="24"/>
        <v>145</v>
      </c>
      <c r="B158" s="15"/>
      <c r="C158" s="16"/>
      <c r="D158" s="75"/>
      <c r="E158" s="16"/>
      <c r="F158" s="17"/>
      <c r="G158" s="75"/>
      <c r="H158" s="75"/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8"/>
      <c r="K158" s="18"/>
      <c r="L158" s="35"/>
      <c r="M158" s="78" t="e">
        <f t="shared" si="25"/>
        <v>#DIV/0!</v>
      </c>
      <c r="N158" s="79" t="e">
        <f t="shared" si="26"/>
        <v>#DIV/0!</v>
      </c>
      <c r="O158" s="80" t="str">
        <f t="shared" si="21"/>
        <v>BLANK</v>
      </c>
      <c r="P158" s="19"/>
      <c r="Q158" s="19"/>
      <c r="R158" s="81" t="str">
        <f t="shared" si="22"/>
        <v>BLANK</v>
      </c>
      <c r="S158" s="82" t="e">
        <f t="shared" si="27"/>
        <v>#VALUE!</v>
      </c>
      <c r="T158" s="83"/>
      <c r="U158" s="83"/>
      <c r="V158" s="83"/>
      <c r="W158" s="113">
        <f t="shared" si="23"/>
        <v>0</v>
      </c>
      <c r="AA158" s="75"/>
      <c r="AB158" s="44"/>
    </row>
    <row r="159" spans="1:28" ht="15">
      <c r="A159" s="15">
        <f t="shared" si="24"/>
        <v>146</v>
      </c>
      <c r="B159" s="15"/>
      <c r="C159" s="16"/>
      <c r="D159" s="75"/>
      <c r="E159" s="16"/>
      <c r="F159" s="17"/>
      <c r="G159" s="75"/>
      <c r="H159" s="75"/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8"/>
      <c r="K159" s="18"/>
      <c r="L159" s="35"/>
      <c r="M159" s="78" t="e">
        <f t="shared" si="25"/>
        <v>#DIV/0!</v>
      </c>
      <c r="N159" s="79" t="e">
        <f t="shared" si="26"/>
        <v>#DIV/0!</v>
      </c>
      <c r="O159" s="80" t="str">
        <f t="shared" si="21"/>
        <v>BLANK</v>
      </c>
      <c r="P159" s="19"/>
      <c r="Q159" s="19"/>
      <c r="R159" s="81" t="str">
        <f t="shared" si="22"/>
        <v>BLANK</v>
      </c>
      <c r="S159" s="82" t="e">
        <f t="shared" si="27"/>
        <v>#VALUE!</v>
      </c>
      <c r="T159" s="83"/>
      <c r="U159" s="83"/>
      <c r="V159" s="83"/>
      <c r="W159" s="113">
        <f t="shared" si="23"/>
        <v>0</v>
      </c>
      <c r="AA159" s="75"/>
      <c r="AB159" s="44"/>
    </row>
    <row r="160" spans="1:28" ht="15">
      <c r="A160" s="15">
        <f t="shared" si="24"/>
        <v>147</v>
      </c>
      <c r="B160" s="15"/>
      <c r="C160" s="16"/>
      <c r="D160" s="75"/>
      <c r="E160" s="16"/>
      <c r="F160" s="17"/>
      <c r="G160" s="75"/>
      <c r="H160" s="75"/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8"/>
      <c r="K160" s="18"/>
      <c r="L160" s="35"/>
      <c r="M160" s="78" t="e">
        <f t="shared" si="25"/>
        <v>#DIV/0!</v>
      </c>
      <c r="N160" s="79" t="e">
        <f t="shared" si="26"/>
        <v>#DIV/0!</v>
      </c>
      <c r="O160" s="80" t="str">
        <f t="shared" si="21"/>
        <v>BLANK</v>
      </c>
      <c r="P160" s="19"/>
      <c r="Q160" s="19"/>
      <c r="R160" s="81" t="str">
        <f t="shared" si="22"/>
        <v>BLANK</v>
      </c>
      <c r="S160" s="82" t="e">
        <f t="shared" si="27"/>
        <v>#VALUE!</v>
      </c>
      <c r="T160" s="83"/>
      <c r="U160" s="83"/>
      <c r="V160" s="83"/>
      <c r="W160" s="113">
        <f t="shared" si="23"/>
        <v>0</v>
      </c>
      <c r="AA160" s="75"/>
      <c r="AB160" s="44"/>
    </row>
    <row r="161" spans="1:28" ht="15">
      <c r="A161" s="15">
        <f t="shared" si="24"/>
        <v>148</v>
      </c>
      <c r="B161" s="15"/>
      <c r="C161" s="16"/>
      <c r="D161" s="75"/>
      <c r="E161" s="16"/>
      <c r="F161" s="17"/>
      <c r="G161" s="75"/>
      <c r="H161" s="75"/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8"/>
      <c r="K161" s="18"/>
      <c r="L161" s="35"/>
      <c r="M161" s="78" t="e">
        <f t="shared" si="25"/>
        <v>#DIV/0!</v>
      </c>
      <c r="N161" s="79" t="e">
        <f t="shared" si="26"/>
        <v>#DIV/0!</v>
      </c>
      <c r="O161" s="80" t="str">
        <f t="shared" si="21"/>
        <v>BLANK</v>
      </c>
      <c r="P161" s="19"/>
      <c r="Q161" s="19"/>
      <c r="R161" s="81" t="str">
        <f t="shared" si="22"/>
        <v>BLANK</v>
      </c>
      <c r="S161" s="82" t="e">
        <f t="shared" si="27"/>
        <v>#VALUE!</v>
      </c>
      <c r="T161" s="83"/>
      <c r="U161" s="83"/>
      <c r="V161" s="83"/>
      <c r="W161" s="113">
        <f t="shared" si="23"/>
        <v>0</v>
      </c>
      <c r="AA161" s="75"/>
      <c r="AB161" s="44"/>
    </row>
    <row r="162" spans="1:28" ht="15">
      <c r="A162" s="15">
        <f t="shared" si="24"/>
        <v>149</v>
      </c>
      <c r="B162" s="15"/>
      <c r="C162" s="16"/>
      <c r="D162" s="75"/>
      <c r="E162" s="16"/>
      <c r="F162" s="17"/>
      <c r="G162" s="75"/>
      <c r="H162" s="75"/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8"/>
      <c r="K162" s="1"/>
      <c r="L162" s="36"/>
      <c r="M162" s="78" t="e">
        <f t="shared" si="25"/>
        <v>#DIV/0!</v>
      </c>
      <c r="N162" s="79" t="e">
        <f t="shared" si="26"/>
        <v>#DIV/0!</v>
      </c>
      <c r="O162" s="80" t="str">
        <f t="shared" si="21"/>
        <v>BLANK</v>
      </c>
      <c r="P162" s="19"/>
      <c r="Q162" s="19"/>
      <c r="R162" s="81" t="str">
        <f t="shared" si="22"/>
        <v>BLANK</v>
      </c>
      <c r="S162" s="82" t="e">
        <f t="shared" si="27"/>
        <v>#VALUE!</v>
      </c>
      <c r="T162" s="83"/>
      <c r="U162" s="83"/>
      <c r="V162" s="83"/>
      <c r="W162" s="113">
        <f t="shared" si="23"/>
        <v>0</v>
      </c>
      <c r="AA162" s="75"/>
      <c r="AB162" s="44"/>
    </row>
    <row r="163" spans="1:28" ht="15">
      <c r="A163" s="15">
        <f t="shared" si="24"/>
        <v>150</v>
      </c>
      <c r="B163" s="15"/>
      <c r="C163" s="16"/>
      <c r="D163" s="75"/>
      <c r="E163" s="16"/>
      <c r="F163" s="17"/>
      <c r="G163" s="75"/>
      <c r="H163" s="75"/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8"/>
      <c r="L163" s="35"/>
      <c r="M163" s="78" t="e">
        <f t="shared" si="25"/>
        <v>#DIV/0!</v>
      </c>
      <c r="N163" s="79" t="e">
        <f t="shared" si="26"/>
        <v>#DIV/0!</v>
      </c>
      <c r="O163" s="80" t="str">
        <f t="shared" si="21"/>
        <v>BLANK</v>
      </c>
      <c r="P163" s="19"/>
      <c r="Q163" s="19"/>
      <c r="R163" s="81" t="str">
        <f t="shared" si="22"/>
        <v>BLANK</v>
      </c>
      <c r="S163" s="82" t="e">
        <f t="shared" si="27"/>
        <v>#VALUE!</v>
      </c>
      <c r="T163" s="83"/>
      <c r="U163" s="83"/>
      <c r="V163" s="83"/>
      <c r="W163" s="113">
        <f t="shared" si="23"/>
        <v>0</v>
      </c>
      <c r="AA163" s="75"/>
      <c r="AB163" s="44"/>
    </row>
    <row r="164" spans="1:28" ht="15">
      <c r="A164" s="15">
        <f t="shared" si="24"/>
        <v>151</v>
      </c>
      <c r="B164" s="15"/>
      <c r="C164" s="16"/>
      <c r="D164" s="75"/>
      <c r="E164" s="16"/>
      <c r="F164" s="17"/>
      <c r="G164" s="75"/>
      <c r="H164" s="75"/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6"/>
      <c r="M164" s="78" t="e">
        <f t="shared" si="25"/>
        <v>#DIV/0!</v>
      </c>
      <c r="N164" s="79" t="e">
        <f t="shared" si="26"/>
        <v>#DIV/0!</v>
      </c>
      <c r="O164" s="80" t="str">
        <f t="shared" si="21"/>
        <v>BLANK</v>
      </c>
      <c r="P164" s="19"/>
      <c r="Q164" s="19"/>
      <c r="R164" s="81" t="str">
        <f t="shared" si="22"/>
        <v>BLANK</v>
      </c>
      <c r="S164" s="82" t="e">
        <f t="shared" si="27"/>
        <v>#VALUE!</v>
      </c>
      <c r="T164" s="83"/>
      <c r="U164" s="83"/>
      <c r="V164" s="83"/>
      <c r="W164" s="113">
        <f t="shared" si="23"/>
        <v>0</v>
      </c>
      <c r="AA164" s="75"/>
      <c r="AB164" s="44"/>
    </row>
    <row r="165" spans="1:28" ht="15">
      <c r="A165" s="15">
        <f t="shared" si="24"/>
        <v>152</v>
      </c>
      <c r="B165" s="15"/>
      <c r="C165" s="16"/>
      <c r="D165" s="75"/>
      <c r="E165" s="16"/>
      <c r="F165" s="17"/>
      <c r="G165" s="75"/>
      <c r="H165" s="75"/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"/>
      <c r="L165" s="36"/>
      <c r="M165" s="78" t="e">
        <f t="shared" si="25"/>
        <v>#DIV/0!</v>
      </c>
      <c r="N165" s="79" t="e">
        <f t="shared" si="26"/>
        <v>#DIV/0!</v>
      </c>
      <c r="O165" s="80" t="str">
        <f t="shared" si="21"/>
        <v>BLANK</v>
      </c>
      <c r="P165" s="19"/>
      <c r="Q165" s="19"/>
      <c r="R165" s="81" t="str">
        <f t="shared" si="22"/>
        <v>BLANK</v>
      </c>
      <c r="S165" s="82" t="e">
        <f t="shared" si="27"/>
        <v>#VALUE!</v>
      </c>
      <c r="T165" s="83"/>
      <c r="U165" s="83"/>
      <c r="V165" s="83"/>
      <c r="W165" s="113">
        <f t="shared" si="23"/>
        <v>0</v>
      </c>
      <c r="AA165" s="75"/>
      <c r="AB165" s="44"/>
    </row>
    <row r="166" spans="1:28" ht="15">
      <c r="A166" s="15">
        <f t="shared" si="24"/>
        <v>153</v>
      </c>
      <c r="B166" s="15"/>
      <c r="C166" s="16"/>
      <c r="D166" s="75"/>
      <c r="E166" s="16"/>
      <c r="F166" s="17"/>
      <c r="G166" s="75"/>
      <c r="H166" s="75"/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5"/>
      <c r="M166" s="78" t="e">
        <f t="shared" si="25"/>
        <v>#DIV/0!</v>
      </c>
      <c r="N166" s="79" t="e">
        <f t="shared" si="26"/>
        <v>#DIV/0!</v>
      </c>
      <c r="O166" s="80" t="str">
        <f t="shared" si="21"/>
        <v>BLANK</v>
      </c>
      <c r="P166" s="19"/>
      <c r="Q166" s="19"/>
      <c r="R166" s="81" t="str">
        <f t="shared" si="22"/>
        <v>BLANK</v>
      </c>
      <c r="S166" s="82" t="e">
        <f t="shared" si="27"/>
        <v>#VALUE!</v>
      </c>
      <c r="T166" s="83"/>
      <c r="U166" s="83"/>
      <c r="V166" s="83"/>
      <c r="W166" s="113">
        <f t="shared" si="23"/>
        <v>0</v>
      </c>
      <c r="AA166" s="75"/>
      <c r="AB166" s="44"/>
    </row>
    <row r="167" spans="1:28" ht="15">
      <c r="A167" s="15">
        <f t="shared" si="24"/>
        <v>154</v>
      </c>
      <c r="B167" s="15"/>
      <c r="C167" s="16"/>
      <c r="D167" s="75"/>
      <c r="E167" s="16"/>
      <c r="F167" s="17"/>
      <c r="G167" s="75"/>
      <c r="H167" s="75"/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5"/>
      <c r="M167" s="78" t="e">
        <f t="shared" si="25"/>
        <v>#DIV/0!</v>
      </c>
      <c r="N167" s="79" t="e">
        <f t="shared" si="26"/>
        <v>#DIV/0!</v>
      </c>
      <c r="O167" s="80" t="str">
        <f t="shared" si="21"/>
        <v>BLANK</v>
      </c>
      <c r="P167" s="19"/>
      <c r="Q167" s="19"/>
      <c r="R167" s="81" t="str">
        <f t="shared" si="22"/>
        <v>BLANK</v>
      </c>
      <c r="S167" s="82" t="e">
        <f t="shared" si="27"/>
        <v>#VALUE!</v>
      </c>
      <c r="T167" s="83"/>
      <c r="U167" s="83"/>
      <c r="V167" s="83"/>
      <c r="W167" s="113">
        <f t="shared" si="23"/>
        <v>0</v>
      </c>
      <c r="AA167" s="75"/>
      <c r="AB167" s="44"/>
    </row>
    <row r="168" spans="1:28" ht="15">
      <c r="A168" s="15">
        <f t="shared" si="24"/>
        <v>155</v>
      </c>
      <c r="B168" s="15"/>
      <c r="C168" s="16"/>
      <c r="D168" s="75"/>
      <c r="E168" s="16"/>
      <c r="F168" s="17"/>
      <c r="G168" s="75"/>
      <c r="H168" s="75"/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8"/>
      <c r="L168" s="35"/>
      <c r="M168" s="78" t="e">
        <f t="shared" si="25"/>
        <v>#DIV/0!</v>
      </c>
      <c r="N168" s="79" t="e">
        <f t="shared" si="26"/>
        <v>#DIV/0!</v>
      </c>
      <c r="O168" s="80" t="str">
        <f t="shared" si="21"/>
        <v>BLANK</v>
      </c>
      <c r="P168" s="19"/>
      <c r="Q168" s="19"/>
      <c r="R168" s="81" t="str">
        <f t="shared" si="22"/>
        <v>BLANK</v>
      </c>
      <c r="S168" s="82" t="e">
        <f t="shared" si="27"/>
        <v>#VALUE!</v>
      </c>
      <c r="T168" s="83"/>
      <c r="U168" s="83"/>
      <c r="V168" s="83"/>
      <c r="W168" s="113">
        <f t="shared" si="23"/>
        <v>0</v>
      </c>
      <c r="AA168" s="75"/>
      <c r="AB168" s="44"/>
    </row>
    <row r="169" spans="1:28" ht="15">
      <c r="A169" s="15">
        <f t="shared" si="24"/>
        <v>156</v>
      </c>
      <c r="B169" s="15"/>
      <c r="C169" s="16"/>
      <c r="D169" s="75"/>
      <c r="E169" s="16"/>
      <c r="F169" s="17"/>
      <c r="G169" s="75"/>
      <c r="H169" s="75"/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"/>
      <c r="L169" s="36"/>
      <c r="M169" s="78" t="e">
        <f t="shared" si="25"/>
        <v>#DIV/0!</v>
      </c>
      <c r="N169" s="79" t="e">
        <f t="shared" si="26"/>
        <v>#DIV/0!</v>
      </c>
      <c r="O169" s="80" t="str">
        <f t="shared" si="21"/>
        <v>BLANK</v>
      </c>
      <c r="P169" s="19"/>
      <c r="Q169" s="19"/>
      <c r="R169" s="81" t="str">
        <f t="shared" si="22"/>
        <v>BLANK</v>
      </c>
      <c r="S169" s="82" t="e">
        <f t="shared" si="27"/>
        <v>#VALUE!</v>
      </c>
      <c r="T169" s="83"/>
      <c r="U169" s="83"/>
      <c r="V169" s="83"/>
      <c r="W169" s="113">
        <f t="shared" si="23"/>
        <v>0</v>
      </c>
      <c r="AA169" s="75"/>
      <c r="AB169" s="44"/>
    </row>
    <row r="170" spans="1:28" ht="15">
      <c r="A170" s="15">
        <f t="shared" si="24"/>
        <v>157</v>
      </c>
      <c r="B170" s="15"/>
      <c r="C170" s="16"/>
      <c r="D170" s="75"/>
      <c r="E170" s="16"/>
      <c r="F170" s="17"/>
      <c r="G170" s="75"/>
      <c r="H170" s="75"/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5"/>
      <c r="M170" s="78" t="e">
        <f t="shared" si="25"/>
        <v>#DIV/0!</v>
      </c>
      <c r="N170" s="79" t="e">
        <f t="shared" si="26"/>
        <v>#DIV/0!</v>
      </c>
      <c r="O170" s="80" t="str">
        <f t="shared" si="21"/>
        <v>BLANK</v>
      </c>
      <c r="P170" s="19"/>
      <c r="Q170" s="19"/>
      <c r="R170" s="81" t="str">
        <f t="shared" si="22"/>
        <v>BLANK</v>
      </c>
      <c r="S170" s="82" t="e">
        <f t="shared" si="27"/>
        <v>#VALUE!</v>
      </c>
      <c r="T170" s="83"/>
      <c r="U170" s="83"/>
      <c r="V170" s="83"/>
      <c r="W170" s="113">
        <f t="shared" si="23"/>
        <v>0</v>
      </c>
      <c r="AA170" s="75"/>
      <c r="AB170" s="44"/>
    </row>
    <row r="171" spans="1:28" ht="15">
      <c r="A171" s="15">
        <f t="shared" si="24"/>
        <v>158</v>
      </c>
      <c r="B171" s="15"/>
      <c r="C171" s="16"/>
      <c r="D171" s="75"/>
      <c r="E171" s="16"/>
      <c r="F171" s="17"/>
      <c r="G171" s="75"/>
      <c r="H171" s="75"/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5"/>
      <c r="M171" s="78" t="e">
        <f t="shared" si="25"/>
        <v>#DIV/0!</v>
      </c>
      <c r="N171" s="79" t="e">
        <f t="shared" si="26"/>
        <v>#DIV/0!</v>
      </c>
      <c r="O171" s="80" t="str">
        <f t="shared" si="21"/>
        <v>BLANK</v>
      </c>
      <c r="P171" s="19"/>
      <c r="Q171" s="19"/>
      <c r="R171" s="81" t="str">
        <f t="shared" si="22"/>
        <v>BLANK</v>
      </c>
      <c r="S171" s="82" t="e">
        <f t="shared" si="27"/>
        <v>#VALUE!</v>
      </c>
      <c r="T171" s="83"/>
      <c r="U171" s="83"/>
      <c r="V171" s="83"/>
      <c r="W171" s="113">
        <f t="shared" si="23"/>
        <v>0</v>
      </c>
      <c r="AA171" s="75"/>
      <c r="AB171" s="44"/>
    </row>
    <row r="172" spans="1:28" ht="15">
      <c r="A172" s="15">
        <f t="shared" si="24"/>
        <v>159</v>
      </c>
      <c r="B172" s="15"/>
      <c r="C172" s="16"/>
      <c r="D172" s="75"/>
      <c r="E172" s="16"/>
      <c r="F172" s="17"/>
      <c r="G172" s="75"/>
      <c r="H172" s="75"/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5"/>
      <c r="M172" s="78" t="e">
        <f t="shared" si="25"/>
        <v>#DIV/0!</v>
      </c>
      <c r="N172" s="79" t="e">
        <f t="shared" si="26"/>
        <v>#DIV/0!</v>
      </c>
      <c r="O172" s="80" t="str">
        <f t="shared" si="21"/>
        <v>BLANK</v>
      </c>
      <c r="P172" s="19"/>
      <c r="Q172" s="19"/>
      <c r="R172" s="81" t="str">
        <f t="shared" si="22"/>
        <v>BLANK</v>
      </c>
      <c r="S172" s="82" t="e">
        <f t="shared" si="27"/>
        <v>#VALUE!</v>
      </c>
      <c r="T172" s="83"/>
      <c r="U172" s="83"/>
      <c r="V172" s="83"/>
      <c r="W172" s="113">
        <f t="shared" si="23"/>
        <v>0</v>
      </c>
      <c r="AA172" s="75"/>
      <c r="AB172" s="44"/>
    </row>
    <row r="173" spans="1:28" ht="15">
      <c r="A173" s="15">
        <f t="shared" si="24"/>
        <v>160</v>
      </c>
      <c r="B173" s="15"/>
      <c r="C173" s="16"/>
      <c r="D173" s="75"/>
      <c r="E173" s="16"/>
      <c r="F173" s="17"/>
      <c r="G173" s="75"/>
      <c r="H173" s="75"/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5"/>
      <c r="M173" s="78" t="e">
        <f t="shared" si="25"/>
        <v>#DIV/0!</v>
      </c>
      <c r="N173" s="79" t="e">
        <f t="shared" si="26"/>
        <v>#DIV/0!</v>
      </c>
      <c r="O173" s="80" t="str">
        <f t="shared" si="21"/>
        <v>BLANK</v>
      </c>
      <c r="P173" s="19"/>
      <c r="Q173" s="19"/>
      <c r="R173" s="81" t="str">
        <f t="shared" si="22"/>
        <v>BLANK</v>
      </c>
      <c r="S173" s="82" t="e">
        <f t="shared" si="27"/>
        <v>#VALUE!</v>
      </c>
      <c r="T173" s="83"/>
      <c r="U173" s="83"/>
      <c r="V173" s="83"/>
      <c r="W173" s="113">
        <f t="shared" ref="W173:W206" si="28">IF(AND(F173&gt;0,F173&lt;=30),30,IF(AND(F173&gt;=31,F173&lt;=45),45,IF(AND(F173&gt;=46,F173&lt;=60),60,IF(AND(F173&gt;=61,F173&lt;=90),90,IF(F173&gt;=91,91,0)))))</f>
        <v>0</v>
      </c>
      <c r="AA173" s="75"/>
      <c r="AB173" s="44"/>
    </row>
    <row r="174" spans="1:28" ht="15">
      <c r="A174" s="15">
        <f t="shared" si="24"/>
        <v>161</v>
      </c>
      <c r="B174" s="15"/>
      <c r="C174" s="16"/>
      <c r="D174" s="75"/>
      <c r="E174" s="16"/>
      <c r="F174" s="17"/>
      <c r="G174" s="75"/>
      <c r="H174" s="75"/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5"/>
      <c r="M174" s="78" t="e">
        <f t="shared" si="25"/>
        <v>#DIV/0!</v>
      </c>
      <c r="N174" s="79" t="e">
        <f t="shared" si="26"/>
        <v>#DIV/0!</v>
      </c>
      <c r="O174" s="80" t="str">
        <f t="shared" si="21"/>
        <v>BLANK</v>
      </c>
      <c r="P174" s="19"/>
      <c r="Q174" s="19"/>
      <c r="R174" s="81" t="str">
        <f t="shared" si="22"/>
        <v>BLANK</v>
      </c>
      <c r="S174" s="82" t="e">
        <f t="shared" si="27"/>
        <v>#VALUE!</v>
      </c>
      <c r="T174" s="83"/>
      <c r="U174" s="83"/>
      <c r="V174" s="83"/>
      <c r="W174" s="113">
        <f t="shared" si="28"/>
        <v>0</v>
      </c>
      <c r="AA174" s="75"/>
      <c r="AB174" s="44"/>
    </row>
    <row r="175" spans="1:28" ht="15">
      <c r="A175" s="15">
        <f t="shared" si="24"/>
        <v>162</v>
      </c>
      <c r="B175" s="15"/>
      <c r="C175" s="16"/>
      <c r="D175" s="75"/>
      <c r="E175" s="16"/>
      <c r="F175" s="17"/>
      <c r="G175" s="75"/>
      <c r="H175" s="75"/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5"/>
      <c r="M175" s="78" t="e">
        <f t="shared" si="25"/>
        <v>#DIV/0!</v>
      </c>
      <c r="N175" s="79" t="e">
        <f t="shared" si="26"/>
        <v>#DIV/0!</v>
      </c>
      <c r="O175" s="80" t="str">
        <f t="shared" si="21"/>
        <v>BLANK</v>
      </c>
      <c r="P175" s="19"/>
      <c r="Q175" s="19"/>
      <c r="R175" s="81" t="str">
        <f t="shared" si="22"/>
        <v>BLANK</v>
      </c>
      <c r="S175" s="82" t="e">
        <f t="shared" si="27"/>
        <v>#VALUE!</v>
      </c>
      <c r="T175" s="83"/>
      <c r="U175" s="83"/>
      <c r="V175" s="83"/>
      <c r="W175" s="113">
        <f t="shared" si="28"/>
        <v>0</v>
      </c>
      <c r="AA175" s="75"/>
      <c r="AB175" s="44"/>
    </row>
    <row r="176" spans="1:28" ht="15">
      <c r="A176" s="15">
        <f t="shared" si="24"/>
        <v>163</v>
      </c>
      <c r="B176" s="15"/>
      <c r="C176" s="16"/>
      <c r="D176" s="75"/>
      <c r="E176" s="16"/>
      <c r="F176" s="17"/>
      <c r="G176" s="75"/>
      <c r="H176" s="75"/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5"/>
      <c r="M176" s="78" t="e">
        <f t="shared" si="25"/>
        <v>#DIV/0!</v>
      </c>
      <c r="N176" s="79" t="e">
        <f t="shared" si="26"/>
        <v>#DIV/0!</v>
      </c>
      <c r="O176" s="80" t="str">
        <f t="shared" si="21"/>
        <v>BLANK</v>
      </c>
      <c r="P176" s="19"/>
      <c r="Q176" s="19"/>
      <c r="R176" s="81" t="str">
        <f t="shared" si="22"/>
        <v>BLANK</v>
      </c>
      <c r="S176" s="82" t="e">
        <f t="shared" si="27"/>
        <v>#VALUE!</v>
      </c>
      <c r="T176" s="83"/>
      <c r="U176" s="83"/>
      <c r="V176" s="83"/>
      <c r="W176" s="113">
        <f t="shared" si="28"/>
        <v>0</v>
      </c>
      <c r="AA176" s="75"/>
      <c r="AB176" s="44"/>
    </row>
    <row r="177" spans="1:28" ht="15">
      <c r="A177" s="15">
        <f t="shared" si="24"/>
        <v>164</v>
      </c>
      <c r="B177" s="15"/>
      <c r="C177" s="16"/>
      <c r="D177" s="75"/>
      <c r="E177" s="16"/>
      <c r="F177" s="17"/>
      <c r="G177" s="75"/>
      <c r="H177" s="75"/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5"/>
      <c r="M177" s="78" t="e">
        <f t="shared" si="25"/>
        <v>#DIV/0!</v>
      </c>
      <c r="N177" s="79" t="e">
        <f t="shared" si="26"/>
        <v>#DIV/0!</v>
      </c>
      <c r="O177" s="80" t="str">
        <f t="shared" si="21"/>
        <v>BLANK</v>
      </c>
      <c r="P177" s="19"/>
      <c r="Q177" s="19"/>
      <c r="R177" s="81" t="str">
        <f t="shared" si="22"/>
        <v>BLANK</v>
      </c>
      <c r="S177" s="82" t="e">
        <f t="shared" si="27"/>
        <v>#VALUE!</v>
      </c>
      <c r="T177" s="83"/>
      <c r="U177" s="83"/>
      <c r="V177" s="83"/>
      <c r="W177" s="113">
        <f t="shared" si="28"/>
        <v>0</v>
      </c>
      <c r="AA177" s="75"/>
      <c r="AB177" s="44"/>
    </row>
    <row r="178" spans="1:28" ht="15">
      <c r="A178" s="15">
        <f t="shared" si="24"/>
        <v>165</v>
      </c>
      <c r="B178" s="15"/>
      <c r="C178" s="16"/>
      <c r="D178" s="75"/>
      <c r="E178" s="16"/>
      <c r="F178" s="17"/>
      <c r="G178" s="75"/>
      <c r="H178" s="75"/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5"/>
      <c r="M178" s="78" t="e">
        <f t="shared" si="25"/>
        <v>#DIV/0!</v>
      </c>
      <c r="N178" s="79" t="e">
        <f t="shared" si="26"/>
        <v>#DIV/0!</v>
      </c>
      <c r="O178" s="80" t="str">
        <f t="shared" si="21"/>
        <v>BLANK</v>
      </c>
      <c r="P178" s="19"/>
      <c r="Q178" s="19"/>
      <c r="R178" s="81" t="str">
        <f t="shared" si="22"/>
        <v>BLANK</v>
      </c>
      <c r="S178" s="82" t="e">
        <f t="shared" si="27"/>
        <v>#VALUE!</v>
      </c>
      <c r="T178" s="83"/>
      <c r="U178" s="83"/>
      <c r="V178" s="83"/>
      <c r="W178" s="113">
        <f t="shared" si="28"/>
        <v>0</v>
      </c>
      <c r="AA178" s="75"/>
      <c r="AB178" s="44"/>
    </row>
    <row r="179" spans="1:28" ht="15">
      <c r="A179" s="15">
        <f t="shared" si="24"/>
        <v>166</v>
      </c>
      <c r="B179" s="15"/>
      <c r="C179" s="16"/>
      <c r="D179" s="75"/>
      <c r="E179" s="16"/>
      <c r="F179" s="17"/>
      <c r="G179" s="75"/>
      <c r="H179" s="75"/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5"/>
      <c r="M179" s="78" t="e">
        <f t="shared" si="25"/>
        <v>#DIV/0!</v>
      </c>
      <c r="N179" s="79" t="e">
        <f t="shared" si="26"/>
        <v>#DIV/0!</v>
      </c>
      <c r="O179" s="80" t="str">
        <f t="shared" si="21"/>
        <v>BLANK</v>
      </c>
      <c r="P179" s="19"/>
      <c r="Q179" s="19"/>
      <c r="R179" s="81" t="str">
        <f t="shared" si="22"/>
        <v>BLANK</v>
      </c>
      <c r="S179" s="82" t="e">
        <f t="shared" si="27"/>
        <v>#VALUE!</v>
      </c>
      <c r="T179" s="83"/>
      <c r="U179" s="83"/>
      <c r="V179" s="83"/>
      <c r="W179" s="113">
        <f t="shared" si="28"/>
        <v>0</v>
      </c>
      <c r="AA179" s="75"/>
      <c r="AB179" s="44"/>
    </row>
    <row r="180" spans="1:28" ht="15">
      <c r="A180" s="15">
        <f t="shared" si="24"/>
        <v>167</v>
      </c>
      <c r="B180" s="15"/>
      <c r="C180" s="16"/>
      <c r="D180" s="75"/>
      <c r="E180" s="16"/>
      <c r="F180" s="17"/>
      <c r="G180" s="75"/>
      <c r="H180" s="75"/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5"/>
      <c r="M180" s="78" t="e">
        <f t="shared" si="25"/>
        <v>#DIV/0!</v>
      </c>
      <c r="N180" s="79" t="e">
        <f t="shared" si="26"/>
        <v>#DIV/0!</v>
      </c>
      <c r="O180" s="80" t="str">
        <f t="shared" si="21"/>
        <v>BLANK</v>
      </c>
      <c r="P180" s="19"/>
      <c r="Q180" s="19"/>
      <c r="R180" s="81" t="str">
        <f t="shared" si="22"/>
        <v>BLANK</v>
      </c>
      <c r="S180" s="82" t="e">
        <f t="shared" si="27"/>
        <v>#VALUE!</v>
      </c>
      <c r="T180" s="83"/>
      <c r="U180" s="83"/>
      <c r="V180" s="83"/>
      <c r="W180" s="113">
        <f t="shared" si="28"/>
        <v>0</v>
      </c>
      <c r="AA180" s="75"/>
      <c r="AB180" s="44"/>
    </row>
    <row r="181" spans="1:28" ht="15">
      <c r="A181" s="15">
        <f t="shared" si="24"/>
        <v>168</v>
      </c>
      <c r="B181" s="15"/>
      <c r="C181" s="16"/>
      <c r="D181" s="75"/>
      <c r="E181" s="16"/>
      <c r="F181" s="17"/>
      <c r="G181" s="75"/>
      <c r="H181" s="75"/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6"/>
      <c r="M181" s="78" t="e">
        <f t="shared" si="25"/>
        <v>#DIV/0!</v>
      </c>
      <c r="N181" s="79" t="e">
        <f t="shared" si="26"/>
        <v>#DIV/0!</v>
      </c>
      <c r="O181" s="80" t="str">
        <f t="shared" si="21"/>
        <v>BLANK</v>
      </c>
      <c r="P181" s="19"/>
      <c r="Q181" s="19"/>
      <c r="R181" s="81" t="str">
        <f t="shared" si="22"/>
        <v>BLANK</v>
      </c>
      <c r="S181" s="82" t="e">
        <f t="shared" si="27"/>
        <v>#VALUE!</v>
      </c>
      <c r="T181" s="83"/>
      <c r="U181" s="83"/>
      <c r="V181" s="83"/>
      <c r="W181" s="113">
        <f t="shared" si="28"/>
        <v>0</v>
      </c>
      <c r="AA181" s="75"/>
      <c r="AB181" s="44"/>
    </row>
    <row r="182" spans="1:28" ht="15">
      <c r="A182" s="15">
        <f t="shared" si="24"/>
        <v>169</v>
      </c>
      <c r="B182" s="15"/>
      <c r="C182" s="16"/>
      <c r="D182" s="75"/>
      <c r="E182" s="16"/>
      <c r="F182" s="17"/>
      <c r="G182" s="75"/>
      <c r="H182" s="75"/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5"/>
      <c r="M182" s="78" t="e">
        <f t="shared" si="25"/>
        <v>#DIV/0!</v>
      </c>
      <c r="N182" s="79" t="e">
        <f t="shared" si="26"/>
        <v>#DIV/0!</v>
      </c>
      <c r="O182" s="80" t="str">
        <f t="shared" si="21"/>
        <v>BLANK</v>
      </c>
      <c r="P182" s="19"/>
      <c r="Q182" s="19"/>
      <c r="R182" s="81" t="str">
        <f t="shared" si="22"/>
        <v>BLANK</v>
      </c>
      <c r="S182" s="82" t="e">
        <f t="shared" si="27"/>
        <v>#VALUE!</v>
      </c>
      <c r="T182" s="83"/>
      <c r="U182" s="83"/>
      <c r="V182" s="83"/>
      <c r="W182" s="113">
        <f t="shared" si="28"/>
        <v>0</v>
      </c>
      <c r="AA182" s="75"/>
      <c r="AB182" s="44"/>
    </row>
    <row r="183" spans="1:28" ht="15">
      <c r="A183" s="15">
        <f t="shared" si="24"/>
        <v>170</v>
      </c>
      <c r="B183" s="15"/>
      <c r="C183" s="16"/>
      <c r="D183" s="75"/>
      <c r="E183" s="16"/>
      <c r="F183" s="17"/>
      <c r="G183" s="75"/>
      <c r="H183" s="75"/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5"/>
      <c r="M183" s="78" t="e">
        <f t="shared" si="25"/>
        <v>#DIV/0!</v>
      </c>
      <c r="N183" s="79" t="e">
        <f t="shared" si="26"/>
        <v>#DIV/0!</v>
      </c>
      <c r="O183" s="80" t="str">
        <f t="shared" si="21"/>
        <v>BLANK</v>
      </c>
      <c r="P183" s="19"/>
      <c r="Q183" s="19"/>
      <c r="R183" s="81" t="str">
        <f t="shared" si="22"/>
        <v>BLANK</v>
      </c>
      <c r="S183" s="82" t="e">
        <f t="shared" si="27"/>
        <v>#VALUE!</v>
      </c>
      <c r="T183" s="83"/>
      <c r="U183" s="83"/>
      <c r="V183" s="83"/>
      <c r="W183" s="113">
        <f t="shared" si="28"/>
        <v>0</v>
      </c>
      <c r="AA183" s="75"/>
      <c r="AB183" s="44"/>
    </row>
    <row r="184" spans="1:28" ht="15">
      <c r="A184" s="15">
        <f t="shared" si="24"/>
        <v>171</v>
      </c>
      <c r="B184" s="15"/>
      <c r="C184" s="16"/>
      <c r="D184" s="75"/>
      <c r="E184" s="16"/>
      <c r="F184" s="17"/>
      <c r="G184" s="75"/>
      <c r="H184" s="75"/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5"/>
      <c r="M184" s="78" t="e">
        <f t="shared" si="25"/>
        <v>#DIV/0!</v>
      </c>
      <c r="N184" s="79" t="e">
        <f t="shared" si="26"/>
        <v>#DIV/0!</v>
      </c>
      <c r="O184" s="80" t="str">
        <f t="shared" si="21"/>
        <v>BLANK</v>
      </c>
      <c r="P184" s="19"/>
      <c r="Q184" s="19"/>
      <c r="R184" s="81" t="str">
        <f t="shared" si="22"/>
        <v>BLANK</v>
      </c>
      <c r="S184" s="82" t="e">
        <f t="shared" si="27"/>
        <v>#VALUE!</v>
      </c>
      <c r="T184" s="83"/>
      <c r="U184" s="83"/>
      <c r="V184" s="83"/>
      <c r="W184" s="113">
        <f t="shared" si="28"/>
        <v>0</v>
      </c>
      <c r="AA184" s="75"/>
      <c r="AB184" s="44"/>
    </row>
    <row r="185" spans="1:28" ht="15">
      <c r="A185" s="15">
        <f t="shared" si="24"/>
        <v>172</v>
      </c>
      <c r="B185" s="15"/>
      <c r="C185" s="16"/>
      <c r="D185" s="75"/>
      <c r="E185" s="16"/>
      <c r="F185" s="17"/>
      <c r="G185" s="75"/>
      <c r="H185" s="75"/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6"/>
      <c r="M185" s="78" t="e">
        <f t="shared" si="25"/>
        <v>#DIV/0!</v>
      </c>
      <c r="N185" s="79" t="e">
        <f t="shared" si="26"/>
        <v>#DIV/0!</v>
      </c>
      <c r="O185" s="80" t="str">
        <f t="shared" si="21"/>
        <v>BLANK</v>
      </c>
      <c r="P185" s="19"/>
      <c r="Q185" s="19"/>
      <c r="R185" s="81" t="str">
        <f t="shared" si="22"/>
        <v>BLANK</v>
      </c>
      <c r="S185" s="82" t="e">
        <f t="shared" si="27"/>
        <v>#VALUE!</v>
      </c>
      <c r="T185" s="83"/>
      <c r="U185" s="83"/>
      <c r="V185" s="83"/>
      <c r="W185" s="113">
        <f t="shared" si="28"/>
        <v>0</v>
      </c>
      <c r="AA185" s="75"/>
      <c r="AB185" s="44"/>
    </row>
    <row r="186" spans="1:28" ht="15">
      <c r="A186" s="15">
        <f t="shared" si="24"/>
        <v>173</v>
      </c>
      <c r="B186" s="15"/>
      <c r="C186" s="16"/>
      <c r="D186" s="75"/>
      <c r="E186" s="16"/>
      <c r="F186" s="17"/>
      <c r="G186" s="75"/>
      <c r="H186" s="75"/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6"/>
      <c r="M186" s="78" t="e">
        <f t="shared" si="25"/>
        <v>#DIV/0!</v>
      </c>
      <c r="N186" s="79" t="e">
        <f t="shared" si="26"/>
        <v>#DIV/0!</v>
      </c>
      <c r="O186" s="80" t="str">
        <f t="shared" si="21"/>
        <v>BLANK</v>
      </c>
      <c r="P186" s="19"/>
      <c r="Q186" s="19"/>
      <c r="R186" s="81" t="str">
        <f t="shared" si="22"/>
        <v>BLANK</v>
      </c>
      <c r="S186" s="82" t="e">
        <f t="shared" si="27"/>
        <v>#VALUE!</v>
      </c>
      <c r="T186" s="83"/>
      <c r="U186" s="83"/>
      <c r="V186" s="83"/>
      <c r="W186" s="113">
        <f t="shared" si="28"/>
        <v>0</v>
      </c>
      <c r="AA186" s="75"/>
      <c r="AB186" s="44"/>
    </row>
    <row r="187" spans="1:28" ht="15">
      <c r="A187" s="15">
        <f t="shared" si="24"/>
        <v>174</v>
      </c>
      <c r="B187" s="15"/>
      <c r="C187" s="16"/>
      <c r="D187" s="75"/>
      <c r="E187" s="16"/>
      <c r="F187" s="17"/>
      <c r="G187" s="75"/>
      <c r="H187" s="75"/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6"/>
      <c r="M187" s="78" t="e">
        <f t="shared" si="25"/>
        <v>#DIV/0!</v>
      </c>
      <c r="N187" s="79" t="e">
        <f t="shared" si="26"/>
        <v>#DIV/0!</v>
      </c>
      <c r="O187" s="80" t="str">
        <f t="shared" si="21"/>
        <v>BLANK</v>
      </c>
      <c r="P187" s="19"/>
      <c r="Q187" s="19"/>
      <c r="R187" s="81" t="str">
        <f t="shared" si="22"/>
        <v>BLANK</v>
      </c>
      <c r="S187" s="82" t="e">
        <f t="shared" si="27"/>
        <v>#VALUE!</v>
      </c>
      <c r="T187" s="83"/>
      <c r="U187" s="83"/>
      <c r="V187" s="83"/>
      <c r="W187" s="113">
        <f t="shared" si="28"/>
        <v>0</v>
      </c>
      <c r="AA187" s="75"/>
      <c r="AB187" s="44"/>
    </row>
    <row r="188" spans="1:28" ht="15">
      <c r="A188" s="15">
        <f t="shared" si="24"/>
        <v>175</v>
      </c>
      <c r="B188" s="15"/>
      <c r="C188" s="16"/>
      <c r="D188" s="75"/>
      <c r="E188" s="16"/>
      <c r="F188" s="17"/>
      <c r="G188" s="75"/>
      <c r="H188" s="75"/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5"/>
      <c r="M188" s="78" t="e">
        <f t="shared" si="25"/>
        <v>#DIV/0!</v>
      </c>
      <c r="N188" s="79" t="e">
        <f t="shared" si="26"/>
        <v>#DIV/0!</v>
      </c>
      <c r="O188" s="80" t="str">
        <f t="shared" si="21"/>
        <v>BLANK</v>
      </c>
      <c r="P188" s="19"/>
      <c r="Q188" s="19"/>
      <c r="R188" s="81" t="str">
        <f t="shared" si="22"/>
        <v>BLANK</v>
      </c>
      <c r="S188" s="82" t="e">
        <f t="shared" si="27"/>
        <v>#VALUE!</v>
      </c>
      <c r="T188" s="83"/>
      <c r="U188" s="83"/>
      <c r="V188" s="83"/>
      <c r="W188" s="113">
        <f t="shared" si="28"/>
        <v>0</v>
      </c>
      <c r="AA188" s="75"/>
      <c r="AB188" s="44"/>
    </row>
    <row r="189" spans="1:28" ht="15">
      <c r="A189" s="15">
        <f t="shared" si="24"/>
        <v>176</v>
      </c>
      <c r="B189" s="15"/>
      <c r="C189" s="16"/>
      <c r="D189" s="75"/>
      <c r="E189" s="16"/>
      <c r="F189" s="17"/>
      <c r="G189" s="75"/>
      <c r="H189" s="75"/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5"/>
      <c r="M189" s="78" t="e">
        <f t="shared" si="25"/>
        <v>#DIV/0!</v>
      </c>
      <c r="N189" s="79" t="e">
        <f t="shared" si="26"/>
        <v>#DIV/0!</v>
      </c>
      <c r="O189" s="80" t="str">
        <f t="shared" si="21"/>
        <v>BLANK</v>
      </c>
      <c r="P189" s="19"/>
      <c r="Q189" s="19"/>
      <c r="R189" s="81" t="str">
        <f t="shared" si="22"/>
        <v>BLANK</v>
      </c>
      <c r="S189" s="82" t="e">
        <f t="shared" si="27"/>
        <v>#VALUE!</v>
      </c>
      <c r="T189" s="83"/>
      <c r="U189" s="83"/>
      <c r="V189" s="83"/>
      <c r="W189" s="113">
        <f t="shared" si="28"/>
        <v>0</v>
      </c>
      <c r="AA189" s="75"/>
      <c r="AB189" s="44"/>
    </row>
    <row r="190" spans="1:28" ht="15">
      <c r="A190" s="15">
        <f t="shared" si="24"/>
        <v>177</v>
      </c>
      <c r="B190" s="15"/>
      <c r="C190" s="16"/>
      <c r="D190" s="75"/>
      <c r="E190" s="16"/>
      <c r="F190" s="17"/>
      <c r="G190" s="75"/>
      <c r="H190" s="75"/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5"/>
      <c r="M190" s="78" t="e">
        <f t="shared" si="25"/>
        <v>#DIV/0!</v>
      </c>
      <c r="N190" s="79" t="e">
        <f t="shared" si="26"/>
        <v>#DIV/0!</v>
      </c>
      <c r="O190" s="80" t="str">
        <f t="shared" si="21"/>
        <v>BLANK</v>
      </c>
      <c r="P190" s="19"/>
      <c r="Q190" s="19"/>
      <c r="R190" s="81" t="str">
        <f t="shared" si="22"/>
        <v>BLANK</v>
      </c>
      <c r="S190" s="82" t="e">
        <f t="shared" si="27"/>
        <v>#VALUE!</v>
      </c>
      <c r="T190" s="83"/>
      <c r="U190" s="83"/>
      <c r="V190" s="83"/>
      <c r="W190" s="113">
        <f t="shared" si="28"/>
        <v>0</v>
      </c>
      <c r="AA190" s="75"/>
      <c r="AB190" s="44"/>
    </row>
    <row r="191" spans="1:28" ht="15">
      <c r="A191" s="15">
        <f t="shared" si="24"/>
        <v>178</v>
      </c>
      <c r="B191" s="15"/>
      <c r="C191" s="16"/>
      <c r="D191" s="75"/>
      <c r="E191" s="16"/>
      <c r="F191" s="17"/>
      <c r="G191" s="75"/>
      <c r="H191" s="75"/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6"/>
      <c r="M191" s="78" t="e">
        <f t="shared" si="25"/>
        <v>#DIV/0!</v>
      </c>
      <c r="N191" s="79" t="e">
        <f t="shared" si="26"/>
        <v>#DIV/0!</v>
      </c>
      <c r="O191" s="80" t="str">
        <f t="shared" si="21"/>
        <v>BLANK</v>
      </c>
      <c r="P191" s="19"/>
      <c r="Q191" s="19"/>
      <c r="R191" s="81" t="str">
        <f t="shared" si="22"/>
        <v>BLANK</v>
      </c>
      <c r="S191" s="82" t="e">
        <f t="shared" si="27"/>
        <v>#VALUE!</v>
      </c>
      <c r="T191" s="83"/>
      <c r="U191" s="83"/>
      <c r="V191" s="83"/>
      <c r="W191" s="113">
        <f t="shared" si="28"/>
        <v>0</v>
      </c>
      <c r="AA191" s="75"/>
      <c r="AB191" s="44"/>
    </row>
    <row r="192" spans="1:28" ht="15">
      <c r="A192" s="15">
        <f t="shared" si="24"/>
        <v>179</v>
      </c>
      <c r="B192" s="15"/>
      <c r="C192" s="16"/>
      <c r="D192" s="75"/>
      <c r="E192" s="16"/>
      <c r="F192" s="17"/>
      <c r="G192" s="75"/>
      <c r="H192" s="75"/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5"/>
      <c r="M192" s="78" t="e">
        <f t="shared" si="25"/>
        <v>#DIV/0!</v>
      </c>
      <c r="N192" s="79" t="e">
        <f t="shared" si="26"/>
        <v>#DIV/0!</v>
      </c>
      <c r="O192" s="80" t="str">
        <f t="shared" si="21"/>
        <v>BLANK</v>
      </c>
      <c r="P192" s="19"/>
      <c r="Q192" s="19"/>
      <c r="R192" s="81" t="str">
        <f t="shared" si="22"/>
        <v>BLANK</v>
      </c>
      <c r="S192" s="82" t="e">
        <f t="shared" si="27"/>
        <v>#VALUE!</v>
      </c>
      <c r="T192" s="83"/>
      <c r="U192" s="83"/>
      <c r="V192" s="83"/>
      <c r="W192" s="113">
        <f t="shared" si="28"/>
        <v>0</v>
      </c>
      <c r="AA192" s="75"/>
      <c r="AB192" s="44"/>
    </row>
    <row r="193" spans="1:28" ht="15">
      <c r="A193" s="15">
        <f t="shared" si="24"/>
        <v>180</v>
      </c>
      <c r="B193" s="15"/>
      <c r="C193" s="16"/>
      <c r="D193" s="75"/>
      <c r="E193" s="16"/>
      <c r="F193" s="17"/>
      <c r="G193" s="75"/>
      <c r="H193" s="75"/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5"/>
      <c r="M193" s="78" t="e">
        <f t="shared" si="25"/>
        <v>#DIV/0!</v>
      </c>
      <c r="N193" s="79" t="e">
        <f t="shared" si="26"/>
        <v>#DIV/0!</v>
      </c>
      <c r="O193" s="80" t="str">
        <f t="shared" si="21"/>
        <v>BLANK</v>
      </c>
      <c r="P193" s="19"/>
      <c r="Q193" s="19"/>
      <c r="R193" s="81" t="str">
        <f t="shared" si="22"/>
        <v>BLANK</v>
      </c>
      <c r="S193" s="82" t="e">
        <f t="shared" si="27"/>
        <v>#VALUE!</v>
      </c>
      <c r="T193" s="83"/>
      <c r="U193" s="83"/>
      <c r="V193" s="83"/>
      <c r="W193" s="113">
        <f t="shared" si="28"/>
        <v>0</v>
      </c>
      <c r="AA193" s="75"/>
      <c r="AB193" s="44"/>
    </row>
    <row r="194" spans="1:28" ht="15">
      <c r="A194" s="15">
        <f t="shared" si="24"/>
        <v>181</v>
      </c>
      <c r="B194" s="15"/>
      <c r="C194" s="16"/>
      <c r="D194" s="75"/>
      <c r="E194" s="16"/>
      <c r="F194" s="17"/>
      <c r="G194" s="75"/>
      <c r="H194" s="75"/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5"/>
      <c r="M194" s="78" t="e">
        <f t="shared" si="25"/>
        <v>#DIV/0!</v>
      </c>
      <c r="N194" s="79" t="e">
        <f t="shared" si="26"/>
        <v>#DIV/0!</v>
      </c>
      <c r="O194" s="80" t="str">
        <f t="shared" si="21"/>
        <v>BLANK</v>
      </c>
      <c r="P194" s="19"/>
      <c r="Q194" s="19"/>
      <c r="R194" s="81" t="str">
        <f t="shared" si="22"/>
        <v>BLANK</v>
      </c>
      <c r="S194" s="82" t="e">
        <f t="shared" si="27"/>
        <v>#VALUE!</v>
      </c>
      <c r="T194" s="83"/>
      <c r="U194" s="83"/>
      <c r="V194" s="83"/>
      <c r="W194" s="113">
        <f t="shared" si="28"/>
        <v>0</v>
      </c>
      <c r="AA194" s="75"/>
      <c r="AB194" s="44"/>
    </row>
    <row r="195" spans="1:28" ht="15">
      <c r="A195" s="15">
        <f t="shared" si="24"/>
        <v>182</v>
      </c>
      <c r="B195" s="15"/>
      <c r="C195" s="16"/>
      <c r="D195" s="75"/>
      <c r="E195" s="16"/>
      <c r="F195" s="17"/>
      <c r="G195" s="75"/>
      <c r="H195" s="75"/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6"/>
      <c r="M195" s="78" t="e">
        <f t="shared" si="25"/>
        <v>#DIV/0!</v>
      </c>
      <c r="N195" s="79" t="e">
        <f t="shared" si="26"/>
        <v>#DIV/0!</v>
      </c>
      <c r="O195" s="80" t="str">
        <f t="shared" si="21"/>
        <v>BLANK</v>
      </c>
      <c r="P195" s="19"/>
      <c r="Q195" s="19"/>
      <c r="R195" s="81" t="str">
        <f t="shared" si="22"/>
        <v>BLANK</v>
      </c>
      <c r="S195" s="82" t="e">
        <f t="shared" si="27"/>
        <v>#VALUE!</v>
      </c>
      <c r="T195" s="83"/>
      <c r="U195" s="83"/>
      <c r="V195" s="83"/>
      <c r="W195" s="113">
        <f t="shared" si="28"/>
        <v>0</v>
      </c>
      <c r="AA195" s="75"/>
      <c r="AB195" s="44"/>
    </row>
    <row r="196" spans="1:28" ht="15">
      <c r="A196" s="15">
        <f t="shared" si="24"/>
        <v>183</v>
      </c>
      <c r="B196" s="15"/>
      <c r="C196" s="16"/>
      <c r="D196" s="75"/>
      <c r="E196" s="16"/>
      <c r="F196" s="17"/>
      <c r="G196" s="75"/>
      <c r="H196" s="75"/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6"/>
      <c r="M196" s="78" t="e">
        <f t="shared" si="25"/>
        <v>#DIV/0!</v>
      </c>
      <c r="N196" s="79" t="e">
        <f t="shared" si="26"/>
        <v>#DIV/0!</v>
      </c>
      <c r="O196" s="80" t="str">
        <f t="shared" si="21"/>
        <v>BLANK</v>
      </c>
      <c r="P196" s="19"/>
      <c r="Q196" s="19"/>
      <c r="R196" s="81" t="str">
        <f t="shared" si="22"/>
        <v>BLANK</v>
      </c>
      <c r="S196" s="82" t="e">
        <f t="shared" si="27"/>
        <v>#VALUE!</v>
      </c>
      <c r="T196" s="83"/>
      <c r="U196" s="83"/>
      <c r="V196" s="83"/>
      <c r="W196" s="113">
        <f t="shared" si="28"/>
        <v>0</v>
      </c>
      <c r="AA196" s="75"/>
      <c r="AB196" s="44"/>
    </row>
    <row r="197" spans="1:28" ht="15">
      <c r="A197" s="15">
        <f t="shared" si="24"/>
        <v>184</v>
      </c>
      <c r="B197" s="15"/>
      <c r="C197" s="16"/>
      <c r="D197" s="75"/>
      <c r="E197" s="16"/>
      <c r="F197" s="17"/>
      <c r="G197" s="75"/>
      <c r="H197" s="75"/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6"/>
      <c r="M197" s="78" t="e">
        <f t="shared" si="25"/>
        <v>#DIV/0!</v>
      </c>
      <c r="N197" s="79" t="e">
        <f t="shared" si="26"/>
        <v>#DIV/0!</v>
      </c>
      <c r="O197" s="80" t="str">
        <f t="shared" si="21"/>
        <v>BLANK</v>
      </c>
      <c r="P197" s="19"/>
      <c r="Q197" s="19"/>
      <c r="R197" s="81" t="str">
        <f t="shared" si="22"/>
        <v>BLANK</v>
      </c>
      <c r="S197" s="82" t="e">
        <f t="shared" si="27"/>
        <v>#VALUE!</v>
      </c>
      <c r="T197" s="83"/>
      <c r="U197" s="83"/>
      <c r="V197" s="83"/>
      <c r="W197" s="113">
        <f t="shared" si="28"/>
        <v>0</v>
      </c>
      <c r="AA197" s="75"/>
      <c r="AB197" s="44"/>
    </row>
    <row r="198" spans="1:28" ht="15">
      <c r="A198" s="15">
        <f t="shared" si="24"/>
        <v>185</v>
      </c>
      <c r="B198" s="15"/>
      <c r="C198" s="16"/>
      <c r="D198" s="75"/>
      <c r="E198" s="16"/>
      <c r="F198" s="17"/>
      <c r="G198" s="75"/>
      <c r="H198" s="75"/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5"/>
      <c r="M198" s="78" t="e">
        <f t="shared" si="25"/>
        <v>#DIV/0!</v>
      </c>
      <c r="N198" s="79" t="e">
        <f t="shared" si="26"/>
        <v>#DIV/0!</v>
      </c>
      <c r="O198" s="80" t="str">
        <f t="shared" si="21"/>
        <v>BLANK</v>
      </c>
      <c r="P198" s="19"/>
      <c r="Q198" s="19"/>
      <c r="R198" s="81" t="str">
        <f t="shared" si="22"/>
        <v>BLANK</v>
      </c>
      <c r="S198" s="82" t="e">
        <f t="shared" si="27"/>
        <v>#VALUE!</v>
      </c>
      <c r="T198" s="83"/>
      <c r="U198" s="83"/>
      <c r="V198" s="83"/>
      <c r="W198" s="113">
        <f t="shared" si="28"/>
        <v>0</v>
      </c>
      <c r="AA198" s="75"/>
      <c r="AB198" s="44"/>
    </row>
    <row r="199" spans="1:28" ht="15">
      <c r="A199" s="15">
        <f t="shared" si="24"/>
        <v>186</v>
      </c>
      <c r="B199" s="15"/>
      <c r="C199" s="16"/>
      <c r="D199" s="75"/>
      <c r="E199" s="16"/>
      <c r="F199" s="17"/>
      <c r="G199" s="75"/>
      <c r="H199" s="75"/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5"/>
      <c r="M199" s="78" t="e">
        <f t="shared" si="25"/>
        <v>#DIV/0!</v>
      </c>
      <c r="N199" s="79" t="e">
        <f t="shared" si="26"/>
        <v>#DIV/0!</v>
      </c>
      <c r="O199" s="80" t="str">
        <f t="shared" si="21"/>
        <v>BLANK</v>
      </c>
      <c r="P199" s="19"/>
      <c r="Q199" s="19"/>
      <c r="R199" s="81" t="str">
        <f t="shared" si="22"/>
        <v>BLANK</v>
      </c>
      <c r="S199" s="82" t="e">
        <f t="shared" si="27"/>
        <v>#VALUE!</v>
      </c>
      <c r="T199" s="83"/>
      <c r="U199" s="83"/>
      <c r="V199" s="83"/>
      <c r="W199" s="113">
        <f t="shared" si="28"/>
        <v>0</v>
      </c>
      <c r="AA199" s="75"/>
      <c r="AB199" s="44"/>
    </row>
    <row r="200" spans="1:28" ht="15">
      <c r="A200" s="15">
        <f t="shared" si="24"/>
        <v>187</v>
      </c>
      <c r="B200" s="15"/>
      <c r="C200" s="16"/>
      <c r="D200" s="75"/>
      <c r="E200" s="16"/>
      <c r="F200" s="17"/>
      <c r="G200" s="75"/>
      <c r="H200" s="75"/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5"/>
      <c r="M200" s="78" t="e">
        <f t="shared" si="25"/>
        <v>#DIV/0!</v>
      </c>
      <c r="N200" s="79" t="e">
        <f t="shared" si="26"/>
        <v>#DIV/0!</v>
      </c>
      <c r="O200" s="80" t="str">
        <f t="shared" si="21"/>
        <v>BLANK</v>
      </c>
      <c r="P200" s="19"/>
      <c r="Q200" s="19"/>
      <c r="R200" s="81" t="str">
        <f t="shared" si="22"/>
        <v>BLANK</v>
      </c>
      <c r="S200" s="82" t="e">
        <f t="shared" si="27"/>
        <v>#VALUE!</v>
      </c>
      <c r="T200" s="83"/>
      <c r="U200" s="83"/>
      <c r="V200" s="83"/>
      <c r="W200" s="113">
        <f t="shared" si="28"/>
        <v>0</v>
      </c>
      <c r="AA200" s="75"/>
      <c r="AB200" s="44"/>
    </row>
    <row r="201" spans="1:28" ht="15">
      <c r="A201" s="15">
        <f t="shared" si="24"/>
        <v>188</v>
      </c>
      <c r="B201" s="15"/>
      <c r="C201" s="16"/>
      <c r="D201" s="75"/>
      <c r="E201" s="16"/>
      <c r="F201" s="17"/>
      <c r="G201" s="75"/>
      <c r="H201" s="75"/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5"/>
      <c r="M201" s="78" t="e">
        <f t="shared" si="25"/>
        <v>#DIV/0!</v>
      </c>
      <c r="N201" s="79" t="e">
        <f t="shared" si="26"/>
        <v>#DIV/0!</v>
      </c>
      <c r="O201" s="80" t="str">
        <f t="shared" si="21"/>
        <v>BLANK</v>
      </c>
      <c r="P201" s="19"/>
      <c r="Q201" s="19"/>
      <c r="R201" s="81" t="str">
        <f t="shared" si="22"/>
        <v>BLANK</v>
      </c>
      <c r="S201" s="82" t="e">
        <f t="shared" si="27"/>
        <v>#VALUE!</v>
      </c>
      <c r="T201" s="83"/>
      <c r="U201" s="83"/>
      <c r="V201" s="83"/>
      <c r="W201" s="113">
        <f t="shared" si="28"/>
        <v>0</v>
      </c>
      <c r="AA201" s="75"/>
      <c r="AB201" s="44"/>
    </row>
    <row r="202" spans="1:28" ht="15">
      <c r="A202" s="15">
        <f t="shared" si="24"/>
        <v>189</v>
      </c>
      <c r="B202" s="15"/>
      <c r="C202" s="16"/>
      <c r="D202" s="75"/>
      <c r="E202" s="16"/>
      <c r="F202" s="17"/>
      <c r="G202" s="75"/>
      <c r="H202" s="75"/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5"/>
      <c r="M202" s="78" t="e">
        <f t="shared" si="25"/>
        <v>#DIV/0!</v>
      </c>
      <c r="N202" s="79" t="e">
        <f t="shared" si="26"/>
        <v>#DIV/0!</v>
      </c>
      <c r="O202" s="80" t="str">
        <f t="shared" si="21"/>
        <v>BLANK</v>
      </c>
      <c r="P202" s="19"/>
      <c r="Q202" s="19"/>
      <c r="R202" s="81" t="str">
        <f t="shared" si="22"/>
        <v>BLANK</v>
      </c>
      <c r="S202" s="82" t="e">
        <f t="shared" si="27"/>
        <v>#VALUE!</v>
      </c>
      <c r="T202" s="83"/>
      <c r="U202" s="83"/>
      <c r="V202" s="83"/>
      <c r="W202" s="113">
        <f t="shared" si="28"/>
        <v>0</v>
      </c>
      <c r="AA202" s="75"/>
      <c r="AB202" s="44"/>
    </row>
    <row r="203" spans="1:28" ht="15">
      <c r="A203" s="15">
        <f t="shared" si="24"/>
        <v>190</v>
      </c>
      <c r="B203" s="15"/>
      <c r="C203" s="16"/>
      <c r="D203" s="75"/>
      <c r="E203" s="16"/>
      <c r="F203" s="17"/>
      <c r="G203" s="75"/>
      <c r="H203" s="75"/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5"/>
      <c r="M203" s="78" t="e">
        <f t="shared" si="25"/>
        <v>#DIV/0!</v>
      </c>
      <c r="N203" s="79" t="e">
        <f t="shared" si="26"/>
        <v>#DIV/0!</v>
      </c>
      <c r="O203" s="80" t="str">
        <f t="shared" si="21"/>
        <v>BLANK</v>
      </c>
      <c r="P203" s="19"/>
      <c r="Q203" s="19"/>
      <c r="R203" s="81" t="str">
        <f t="shared" si="22"/>
        <v>BLANK</v>
      </c>
      <c r="S203" s="82" t="e">
        <f t="shared" si="27"/>
        <v>#VALUE!</v>
      </c>
      <c r="T203" s="83"/>
      <c r="U203" s="83"/>
      <c r="V203" s="83"/>
      <c r="W203" s="113">
        <f t="shared" si="28"/>
        <v>0</v>
      </c>
      <c r="AA203" s="75"/>
      <c r="AB203" s="44"/>
    </row>
    <row r="204" spans="1:28" ht="15">
      <c r="A204" s="15">
        <f t="shared" si="24"/>
        <v>191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5"/>
        <v>#DIV/0!</v>
      </c>
      <c r="N204" s="79" t="e">
        <f t="shared" si="26"/>
        <v>#DIV/0!</v>
      </c>
      <c r="O204" s="80" t="str">
        <f t="shared" si="21"/>
        <v>BLANK</v>
      </c>
      <c r="P204" s="19"/>
      <c r="Q204" s="19"/>
      <c r="R204" s="81" t="str">
        <f t="shared" si="22"/>
        <v>BLANK</v>
      </c>
      <c r="S204" s="82" t="e">
        <f t="shared" si="27"/>
        <v>#VALUE!</v>
      </c>
      <c r="T204" s="83"/>
      <c r="U204" s="83"/>
      <c r="V204" s="83"/>
      <c r="W204" s="113">
        <f t="shared" si="28"/>
        <v>0</v>
      </c>
      <c r="AA204" s="75"/>
      <c r="AB204" s="44"/>
    </row>
    <row r="205" spans="1:28" ht="15">
      <c r="A205" s="15">
        <f t="shared" si="24"/>
        <v>192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5"/>
        <v>#DIV/0!</v>
      </c>
      <c r="N205" s="79" t="e">
        <f t="shared" si="26"/>
        <v>#DIV/0!</v>
      </c>
      <c r="O205" s="80" t="str">
        <f t="shared" ref="O205:O213" si="29">IF(K205=0,"BLANK",(J205-K205))</f>
        <v>BLANK</v>
      </c>
      <c r="P205" s="19"/>
      <c r="Q205" s="19"/>
      <c r="R205" s="81" t="str">
        <f t="shared" ref="R205:R213" si="30">IF(K205=0,"BLANK",SUM(P205:Q205))</f>
        <v>BLANK</v>
      </c>
      <c r="S205" s="82" t="e">
        <f t="shared" si="27"/>
        <v>#VALUE!</v>
      </c>
      <c r="T205" s="83"/>
      <c r="U205" s="83"/>
      <c r="V205" s="83"/>
      <c r="W205" s="113">
        <f t="shared" si="28"/>
        <v>0</v>
      </c>
      <c r="AA205" s="75"/>
      <c r="AB205" s="44"/>
    </row>
    <row r="206" spans="1:28" ht="15">
      <c r="A206" s="15">
        <f t="shared" si="24"/>
        <v>193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si="25"/>
        <v>#DIV/0!</v>
      </c>
      <c r="N206" s="79" t="e">
        <f t="shared" si="26"/>
        <v>#DIV/0!</v>
      </c>
      <c r="O206" s="80" t="str">
        <f t="shared" si="29"/>
        <v>BLANK</v>
      </c>
      <c r="P206" s="19"/>
      <c r="Q206" s="19"/>
      <c r="R206" s="81" t="str">
        <f t="shared" si="30"/>
        <v>BLANK</v>
      </c>
      <c r="S206" s="82" t="e">
        <f t="shared" si="27"/>
        <v>#VALUE!</v>
      </c>
      <c r="T206" s="83"/>
      <c r="U206" s="83"/>
      <c r="V206" s="83"/>
      <c r="W206" s="113">
        <f t="shared" si="28"/>
        <v>0</v>
      </c>
      <c r="AA206" s="75"/>
      <c r="AB206" s="44"/>
    </row>
    <row r="207" spans="1:28" ht="15">
      <c r="A207" s="15">
        <f t="shared" ref="A207:A213" si="31">A206+1</f>
        <v>194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ref="M207:M213" si="32">J207/L207</f>
        <v>#DIV/0!</v>
      </c>
      <c r="N207" s="79" t="e">
        <f t="shared" ref="N207:N213" si="33">K207/M207</f>
        <v>#DIV/0!</v>
      </c>
      <c r="O207" s="80" t="str">
        <f t="shared" si="29"/>
        <v>BLANK</v>
      </c>
      <c r="P207" s="19"/>
      <c r="Q207" s="19"/>
      <c r="R207" s="81" t="str">
        <f t="shared" si="30"/>
        <v>BLANK</v>
      </c>
      <c r="S207" s="82" t="e">
        <f t="shared" ref="S207:S213" si="34">(R207/(K207-P207))*(360/F207)</f>
        <v>#VALUE!</v>
      </c>
      <c r="T207" s="83"/>
      <c r="U207" s="83"/>
      <c r="V207" s="83"/>
      <c r="W207" s="113">
        <f t="shared" ref="W207:W213" si="35">IF(AND(F207&gt;0,F207&lt;=30),30,IF(AND(F207&gt;=31,F207&lt;=45),45,IF(AND(F207&gt;=46,F207&lt;=60),60,IF(AND(F207&gt;=61,F207&lt;=90),90,IF(F207&gt;=91,91,0)))))</f>
        <v>0</v>
      </c>
      <c r="AA207" s="75"/>
      <c r="AB207" s="44"/>
    </row>
    <row r="208" spans="1:28" ht="15">
      <c r="A208" s="15">
        <f t="shared" si="31"/>
        <v>195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32"/>
        <v>#DIV/0!</v>
      </c>
      <c r="N208" s="79" t="e">
        <f t="shared" si="33"/>
        <v>#DIV/0!</v>
      </c>
      <c r="O208" s="80" t="str">
        <f t="shared" si="29"/>
        <v>BLANK</v>
      </c>
      <c r="P208" s="19"/>
      <c r="Q208" s="19"/>
      <c r="R208" s="81" t="str">
        <f t="shared" si="30"/>
        <v>BLANK</v>
      </c>
      <c r="S208" s="82" t="e">
        <f t="shared" si="34"/>
        <v>#VALUE!</v>
      </c>
      <c r="T208" s="83"/>
      <c r="U208" s="83"/>
      <c r="V208" s="83"/>
      <c r="W208" s="113">
        <f t="shared" si="35"/>
        <v>0</v>
      </c>
      <c r="AA208" s="75"/>
      <c r="AB208" s="44"/>
    </row>
    <row r="209" spans="1:28" ht="15">
      <c r="A209" s="15">
        <f t="shared" si="31"/>
        <v>196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5"/>
      <c r="M209" s="78" t="e">
        <f t="shared" si="32"/>
        <v>#DIV/0!</v>
      </c>
      <c r="N209" s="79" t="e">
        <f t="shared" si="33"/>
        <v>#DIV/0!</v>
      </c>
      <c r="O209" s="80" t="str">
        <f t="shared" si="29"/>
        <v>BLANK</v>
      </c>
      <c r="P209" s="19"/>
      <c r="Q209" s="19"/>
      <c r="R209" s="81" t="str">
        <f t="shared" si="30"/>
        <v>BLANK</v>
      </c>
      <c r="S209" s="82" t="e">
        <f t="shared" si="34"/>
        <v>#VALUE!</v>
      </c>
      <c r="T209" s="83"/>
      <c r="U209" s="83"/>
      <c r="V209" s="83"/>
      <c r="W209" s="113">
        <f t="shared" si="35"/>
        <v>0</v>
      </c>
      <c r="AA209" s="75"/>
      <c r="AB209" s="44"/>
    </row>
    <row r="210" spans="1:28" ht="15">
      <c r="A210" s="15">
        <f t="shared" si="31"/>
        <v>197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32"/>
        <v>#DIV/0!</v>
      </c>
      <c r="N210" s="79" t="e">
        <f t="shared" si="33"/>
        <v>#DIV/0!</v>
      </c>
      <c r="O210" s="80" t="str">
        <f t="shared" si="29"/>
        <v>BLANK</v>
      </c>
      <c r="P210" s="19"/>
      <c r="Q210" s="19"/>
      <c r="R210" s="81" t="str">
        <f t="shared" si="30"/>
        <v>BLANK</v>
      </c>
      <c r="S210" s="82" t="e">
        <f t="shared" si="34"/>
        <v>#VALUE!</v>
      </c>
      <c r="T210" s="83"/>
      <c r="U210" s="83"/>
      <c r="V210" s="83"/>
      <c r="W210" s="113">
        <f t="shared" si="35"/>
        <v>0</v>
      </c>
      <c r="AA210" s="75"/>
      <c r="AB210" s="44"/>
    </row>
    <row r="211" spans="1:28" ht="15">
      <c r="A211" s="15">
        <f t="shared" si="31"/>
        <v>198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32"/>
        <v>#DIV/0!</v>
      </c>
      <c r="N211" s="79" t="e">
        <f t="shared" si="33"/>
        <v>#DIV/0!</v>
      </c>
      <c r="O211" s="80" t="str">
        <f t="shared" si="29"/>
        <v>BLANK</v>
      </c>
      <c r="P211" s="19"/>
      <c r="Q211" s="19"/>
      <c r="R211" s="81" t="str">
        <f t="shared" si="30"/>
        <v>BLANK</v>
      </c>
      <c r="S211" s="82" t="e">
        <f t="shared" si="34"/>
        <v>#VALUE!</v>
      </c>
      <c r="T211" s="83"/>
      <c r="U211" s="83"/>
      <c r="V211" s="83"/>
      <c r="W211" s="113">
        <f t="shared" si="35"/>
        <v>0</v>
      </c>
      <c r="AA211" s="75"/>
      <c r="AB211" s="44"/>
    </row>
    <row r="212" spans="1:28" ht="15">
      <c r="A212" s="15">
        <f t="shared" si="31"/>
        <v>199</v>
      </c>
      <c r="B212" s="15"/>
      <c r="C212" s="16"/>
      <c r="D212" s="75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32"/>
        <v>#DIV/0!</v>
      </c>
      <c r="N212" s="79" t="e">
        <f t="shared" si="33"/>
        <v>#DIV/0!</v>
      </c>
      <c r="O212" s="80" t="str">
        <f t="shared" si="29"/>
        <v>BLANK</v>
      </c>
      <c r="P212" s="19"/>
      <c r="Q212" s="19"/>
      <c r="R212" s="81" t="str">
        <f t="shared" si="30"/>
        <v>BLANK</v>
      </c>
      <c r="S212" s="82" t="e">
        <f t="shared" si="34"/>
        <v>#VALUE!</v>
      </c>
      <c r="T212" s="83"/>
      <c r="U212" s="83"/>
      <c r="V212" s="83"/>
      <c r="W212" s="113">
        <f t="shared" si="35"/>
        <v>0</v>
      </c>
      <c r="AA212" s="75"/>
      <c r="AB212" s="44"/>
    </row>
    <row r="213" spans="1:28" thickBot="1">
      <c r="A213" s="15">
        <f t="shared" si="31"/>
        <v>200</v>
      </c>
      <c r="B213" s="15"/>
      <c r="C213" s="16"/>
      <c r="D213" s="84"/>
      <c r="E213" s="16"/>
      <c r="F213" s="17"/>
      <c r="G213" s="75"/>
      <c r="H213" s="75"/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6"/>
      <c r="M213" s="78" t="e">
        <f t="shared" si="32"/>
        <v>#DIV/0!</v>
      </c>
      <c r="N213" s="79" t="e">
        <f t="shared" si="33"/>
        <v>#DIV/0!</v>
      </c>
      <c r="O213" s="80" t="str">
        <f t="shared" si="29"/>
        <v>BLANK</v>
      </c>
      <c r="P213" s="19"/>
      <c r="Q213" s="19"/>
      <c r="R213" s="81" t="str">
        <f t="shared" si="30"/>
        <v>BLANK</v>
      </c>
      <c r="S213" s="82" t="e">
        <f t="shared" si="34"/>
        <v>#VALUE!</v>
      </c>
      <c r="T213" s="83"/>
      <c r="U213" s="83"/>
      <c r="V213" s="83"/>
      <c r="W213" s="113">
        <f t="shared" si="35"/>
        <v>0</v>
      </c>
      <c r="AA213" s="84"/>
      <c r="AB213" s="44"/>
    </row>
    <row r="214" spans="1:28" ht="16.5" thickBot="1">
      <c r="A214" s="85" t="s">
        <v>120</v>
      </c>
      <c r="B214" s="86"/>
      <c r="C214" s="87"/>
      <c r="D214" s="88">
        <f>COUNTA(D14:D213)</f>
        <v>107</v>
      </c>
      <c r="E214" s="89" t="s">
        <v>121</v>
      </c>
      <c r="F214" s="90">
        <f>AVERAGE(F14:F213)</f>
        <v>58.10280373831776</v>
      </c>
      <c r="G214" s="91"/>
      <c r="H214" s="91"/>
      <c r="I214" s="92">
        <f>COUNTIF(I14:I213,"No")</f>
        <v>52</v>
      </c>
      <c r="J214" s="93">
        <f>AVERAGEIF(J14:J213,"&lt;&gt;BLANK")</f>
        <v>39094.093457943927</v>
      </c>
      <c r="K214" s="94">
        <f>AVERAGEIF(K14:K213,"&lt;&gt;BLANK")</f>
        <v>38632.283644859817</v>
      </c>
      <c r="L214" s="95">
        <f>AVERAGEIF(L14:L213,"&lt;&gt;BLANK")</f>
        <v>0.98822429906542075</v>
      </c>
      <c r="M214" s="94">
        <f>J214/L214</f>
        <v>39559.939474181949</v>
      </c>
      <c r="N214" s="96">
        <f t="shared" ref="N214" si="36">K214/M214</f>
        <v>0.97655062566696926</v>
      </c>
      <c r="O214" s="94">
        <f>AVERAGEIF(O14:O213,"&lt;&gt;BLANK")</f>
        <v>461.80981308411208</v>
      </c>
      <c r="P214" s="94">
        <f>AVERAGEIF(P14:P213,"&lt;&gt;BLANK")</f>
        <v>3340.876448598131</v>
      </c>
      <c r="Q214" s="94">
        <f>AVERAGEIF(Q14:Q213,"&lt;&gt;BLANK")</f>
        <v>1706.7631775700936</v>
      </c>
      <c r="R214" s="97">
        <f>AVERAGEIF(R14:R213,"&lt;&gt;BLANK")</f>
        <v>5047.6396261682239</v>
      </c>
      <c r="S214" s="97" t="e">
        <f>AVERAGEIF(S14:S213,"&lt;&gt;BLANK")</f>
        <v>#VALUE!</v>
      </c>
      <c r="T214" s="98"/>
      <c r="U214" s="98"/>
      <c r="V214" s="98"/>
      <c r="W214" s="99" t="e">
        <f>AVERAGEIF(W164:W205,"&lt;&gt;0")</f>
        <v>#DIV/0!</v>
      </c>
      <c r="X214" s="99" t="e">
        <f>AVERAGEIF(X164:X205,"&lt;&gt;0")</f>
        <v>#DIV/0!</v>
      </c>
      <c r="AA214" s="100">
        <f>COUNTIF(AA14:AA213,"Yes")</f>
        <v>34</v>
      </c>
      <c r="AB214" s="101">
        <f>AVERAGEIF(AB14:AB213,"&lt;&gt;BLANK")</f>
        <v>-32.074672897196258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H13:H213 AA13:AA29 AA31:AA21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scale="5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3" sqref="B13"/>
    </sheetView>
  </sheetViews>
  <sheetFormatPr defaultRowHeight="15"/>
  <cols>
    <col min="1" max="1" width="36.5703125" customWidth="1"/>
    <col min="2" max="2" width="11.5703125" bestFit="1" customWidth="1"/>
    <col min="3" max="3" width="9" customWidth="1"/>
  </cols>
  <sheetData>
    <row r="1" spans="1:2" ht="22.5" customHeight="1">
      <c r="A1" s="33" t="s">
        <v>122</v>
      </c>
    </row>
    <row r="2" spans="1:2" ht="22.5" customHeight="1">
      <c r="A2" s="5" t="s">
        <v>123</v>
      </c>
      <c r="B2" s="14">
        <f>'Sales Log'!I214/'Scoreboard Total'!B3</f>
        <v>0.48598130841121495</v>
      </c>
    </row>
    <row r="3" spans="1:2" ht="22.5" customHeight="1">
      <c r="A3" s="5" t="s">
        <v>124</v>
      </c>
      <c r="B3" s="6">
        <f>'Sales Log'!D214</f>
        <v>107</v>
      </c>
    </row>
    <row r="4" spans="1:2" ht="21.75" customHeight="1">
      <c r="A4" s="5" t="s">
        <v>125</v>
      </c>
      <c r="B4" s="7">
        <f>'Sales Log'!$F$214</f>
        <v>58.10280373831776</v>
      </c>
    </row>
    <row r="5" spans="1:2" ht="22.5" customHeight="1">
      <c r="A5" s="5" t="s">
        <v>126</v>
      </c>
      <c r="B5" s="8">
        <f>'Sales Log'!$J$214</f>
        <v>39094.093457943927</v>
      </c>
    </row>
    <row r="6" spans="1:2" ht="22.5" customHeight="1">
      <c r="A6" s="5" t="s">
        <v>127</v>
      </c>
      <c r="B6" s="8">
        <f>'Sales Log'!$K$214</f>
        <v>38632.283644859817</v>
      </c>
    </row>
    <row r="7" spans="1:2" ht="22.5" customHeight="1">
      <c r="A7" s="5" t="s">
        <v>128</v>
      </c>
      <c r="B7" s="8">
        <f>'Sales Log'!$M$214</f>
        <v>39559.939474181949</v>
      </c>
    </row>
    <row r="8" spans="1:2" ht="22.5" customHeight="1">
      <c r="A8" s="5" t="s">
        <v>129</v>
      </c>
      <c r="B8" s="9">
        <f>'Sales Log'!L214</f>
        <v>0.98822429906542075</v>
      </c>
    </row>
    <row r="9" spans="1:2" ht="22.5" customHeight="1">
      <c r="A9" s="5" t="s">
        <v>130</v>
      </c>
      <c r="B9" s="9">
        <f>'Sales Log'!$N$214</f>
        <v>0.97655062566696926</v>
      </c>
    </row>
    <row r="10" spans="1:2" ht="22.5" customHeight="1">
      <c r="A10" s="5" t="s">
        <v>131</v>
      </c>
      <c r="B10" s="8">
        <f>'Sales Log'!$O$214</f>
        <v>461.80981308411208</v>
      </c>
    </row>
    <row r="11" spans="1:2" ht="22.5" customHeight="1">
      <c r="A11" s="5" t="s">
        <v>132</v>
      </c>
      <c r="B11" s="8">
        <f>'Sales Log'!$P$214</f>
        <v>3340.876448598131</v>
      </c>
    </row>
    <row r="12" spans="1:2" ht="22.5" customHeight="1">
      <c r="A12" s="5" t="s">
        <v>133</v>
      </c>
      <c r="B12" s="8">
        <f>'Sales Log'!$Q$214</f>
        <v>1706.7631775700936</v>
      </c>
    </row>
    <row r="13" spans="1:2" ht="22.5" customHeight="1">
      <c r="A13" s="5" t="s">
        <v>134</v>
      </c>
      <c r="B13" s="8">
        <f>'Sales Log'!$R$214</f>
        <v>5047.6396261682239</v>
      </c>
    </row>
    <row r="14" spans="1:2" ht="21.75" customHeight="1">
      <c r="A14" s="5" t="s">
        <v>135</v>
      </c>
      <c r="B14" s="10">
        <f>B13*B3</f>
        <v>540097.43999999994</v>
      </c>
    </row>
    <row r="15" spans="1:2" ht="21.75" customHeight="1">
      <c r="A15" s="5" t="s">
        <v>89</v>
      </c>
      <c r="B15" s="9">
        <f>(B13/(B6)*(360/B4))</f>
        <v>0.80954942957906251</v>
      </c>
    </row>
    <row r="16" spans="1:2" ht="21.75" customHeight="1">
      <c r="A16" s="5" t="s">
        <v>136</v>
      </c>
      <c r="B16" s="9">
        <f>'Sales Log'!AA214/'Scoreboard Total'!B3</f>
        <v>0.31775700934579437</v>
      </c>
    </row>
    <row r="17" spans="1:2" ht="21.75" customHeight="1">
      <c r="A17" s="5" t="s">
        <v>137</v>
      </c>
      <c r="B17" s="45">
        <f>'Sales Log'!$AB$214</f>
        <v>-32.074672897196258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B1" activePane="topRight" state="frozen"/>
      <selection pane="topRight" activeCell="D8" sqref="D8"/>
    </sheetView>
  </sheetViews>
  <sheetFormatPr defaultRowHeight="15"/>
  <cols>
    <col min="1" max="1" width="37.7109375" bestFit="1" customWidth="1"/>
    <col min="2" max="2" width="13.42578125" customWidth="1"/>
    <col min="3" max="13" width="19.7109375" customWidth="1"/>
  </cols>
  <sheetData>
    <row r="1" spans="1:13" ht="22.5" customHeight="1">
      <c r="A1" s="20" t="s">
        <v>138</v>
      </c>
      <c r="B1" s="21"/>
      <c r="C1" s="43" t="s">
        <v>139</v>
      </c>
    </row>
    <row r="2" spans="1:13" ht="22.5" customHeight="1">
      <c r="A2" s="22" t="s">
        <v>91</v>
      </c>
      <c r="B2" s="22" t="s">
        <v>140</v>
      </c>
      <c r="C2" s="32" t="s">
        <v>324</v>
      </c>
      <c r="D2" s="32" t="s">
        <v>157</v>
      </c>
      <c r="E2" s="32" t="s">
        <v>152</v>
      </c>
      <c r="F2" s="32" t="s">
        <v>158</v>
      </c>
      <c r="G2" s="32" t="s">
        <v>284</v>
      </c>
      <c r="H2" s="32" t="s">
        <v>263</v>
      </c>
      <c r="I2" s="32"/>
      <c r="J2" s="32"/>
      <c r="K2" s="32"/>
      <c r="L2" s="32"/>
      <c r="M2" s="32"/>
    </row>
    <row r="3" spans="1:13" ht="22.5" customHeight="1">
      <c r="A3" s="5" t="s">
        <v>141</v>
      </c>
      <c r="B3" s="14">
        <f>COUNTIFS('Sales Log'!$I$14:$I$213,"No")/B4</f>
        <v>0.48598130841121495</v>
      </c>
      <c r="C3" s="14">
        <f>COUNTIFS('Sales Log'!$I$14:$I$213,"No",'Sales Log'!$U$14:$U$213,'Scoreboard DM'!C2)/C4</f>
        <v>0.33333333333333331</v>
      </c>
      <c r="D3" s="14">
        <f>COUNTIFS('Sales Log'!$I$14:$I$213,"No",'Sales Log'!$U$14:$U$213,'Scoreboard DM'!D2)/D4</f>
        <v>0.43333333333333335</v>
      </c>
      <c r="E3" s="14">
        <f>COUNTIFS('Sales Log'!$I$14:$I$213,"No",'Sales Log'!$U$14:$U$213,'Scoreboard DM'!E2)/E4</f>
        <v>0.56521739130434778</v>
      </c>
      <c r="F3" s="14">
        <f>COUNTIFS('Sales Log'!$I$14:$I$213,"No",'Sales Log'!$U$14:$U$213,'Scoreboard DM'!F2)/F4</f>
        <v>0.5</v>
      </c>
      <c r="G3" s="14">
        <f>COUNTIFS('Sales Log'!$I$14:$I$213,"No",'Sales Log'!$U$14:$U$213,'Scoreboard DM'!G2)/G4</f>
        <v>0.52380952380952384</v>
      </c>
      <c r="H3" s="14">
        <f>COUNTIFS('Sales Log'!$I$14:$I$213,"No",'Sales Log'!$U$14:$U$213,'Scoreboard DM'!H2)/H4</f>
        <v>0.66666666666666663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124</v>
      </c>
      <c r="B4" s="6">
        <f>'Sales Log'!D214</f>
        <v>107</v>
      </c>
      <c r="C4" s="40">
        <f>COUNTIF('Sales Log'!$U$14:$U$213,C2)</f>
        <v>12</v>
      </c>
      <c r="D4" s="40">
        <f>COUNTIF('Sales Log'!$U$14:$U$213,D2)</f>
        <v>30</v>
      </c>
      <c r="E4" s="40">
        <f>COUNTIF('Sales Log'!$U$14:$U$213,E2)</f>
        <v>23</v>
      </c>
      <c r="F4" s="40">
        <f>COUNTIF('Sales Log'!$U$14:$U$213,F2)</f>
        <v>18</v>
      </c>
      <c r="G4" s="40">
        <f>COUNTIF('Sales Log'!$U$14:$U$213,G2)</f>
        <v>21</v>
      </c>
      <c r="H4" s="40">
        <f>COUNTIF('Sales Log'!$U$14:$U$213,H2)</f>
        <v>3</v>
      </c>
      <c r="I4" s="40">
        <f>COUNTIF('Sales Log'!$U$14:$U$213,I2)</f>
        <v>0</v>
      </c>
      <c r="J4" s="40">
        <f>COUNTIF('Sales Log'!$U$14:$U$213,J2)</f>
        <v>0</v>
      </c>
      <c r="K4" s="40">
        <f>COUNTIF('Sales Log'!$U$14:$U$213,K2)</f>
        <v>0</v>
      </c>
      <c r="L4" s="40">
        <f>COUNTIF('Sales Log'!$U$14:$U$213,L2)</f>
        <v>0</v>
      </c>
      <c r="M4" s="40">
        <f>COUNTIF('Sales Log'!$U$14:$U$213,M2)</f>
        <v>0</v>
      </c>
    </row>
    <row r="5" spans="1:13" s="4" customFormat="1" ht="21.75" customHeight="1">
      <c r="A5" s="5" t="s">
        <v>125</v>
      </c>
      <c r="B5" s="7">
        <f>'Sales Log'!$F$214</f>
        <v>58.10280373831776</v>
      </c>
      <c r="C5" s="24">
        <f ca="1">AVERAGEIF('Sales Log'!$U$14:$U$213,C2,'Sales Log'!$F$14:$F$209)</f>
        <v>53.166666666666664</v>
      </c>
      <c r="D5" s="24">
        <f ca="1">AVERAGEIF('Sales Log'!$U$14:$U$213,D2,'Sales Log'!$F$14:$F$209)</f>
        <v>43.766666666666666</v>
      </c>
      <c r="E5" s="24">
        <f ca="1">AVERAGEIF('Sales Log'!$U$14:$U$213,E2,'Sales Log'!$F$14:$F$209)</f>
        <v>98.304347826086953</v>
      </c>
      <c r="F5" s="24">
        <f ca="1">AVERAGEIF('Sales Log'!$U$14:$U$213,F2,'Sales Log'!$F$14:$F$209)</f>
        <v>36.777777777777779</v>
      </c>
      <c r="G5" s="24">
        <f ca="1">AVERAGEIF('Sales Log'!$U$14:$U$213,G2,'Sales Log'!$F$14:$F$209)</f>
        <v>52.761904761904759</v>
      </c>
      <c r="H5" s="24">
        <f ca="1">AVERAGEIF('Sales Log'!$U$14:$U$213,H2,'Sales Log'!$F$14:$F$209)</f>
        <v>78.333333333333329</v>
      </c>
      <c r="I5" s="24" t="e">
        <f ca="1">AVERAGEIF('Sales Log'!$U$14:$U$213,I2,'Sales Log'!$F$14:$F$209)</f>
        <v>#DIV/0!</v>
      </c>
      <c r="J5" s="24" t="e">
        <f ca="1">AVERAGEIF('Sales Log'!$U$14:$U$213,J2,'Sales Log'!$F$14:$F$209)</f>
        <v>#DIV/0!</v>
      </c>
      <c r="K5" s="24" t="e">
        <f ca="1">AVERAGEIF('Sales Log'!$U$14:$U$213,K2,'Sales Log'!$F$14:$F$209)</f>
        <v>#DIV/0!</v>
      </c>
      <c r="L5" s="24" t="e">
        <f ca="1">AVERAGEIF('Sales Log'!$U$14:$U$213,L2,'Sales Log'!$F$14:$F$209)</f>
        <v>#DIV/0!</v>
      </c>
      <c r="M5" s="24" t="e">
        <f ca="1">AVERAGEIF('Sales Log'!$U$14:$U$213,M2,'Sales Log'!$F$14:$F$209)</f>
        <v>#DIV/0!</v>
      </c>
    </row>
    <row r="6" spans="1:13" ht="21.75" customHeight="1">
      <c r="A6" s="5" t="s">
        <v>126</v>
      </c>
      <c r="B6" s="8">
        <f>'Sales Log'!$J$214</f>
        <v>39094.093457943927</v>
      </c>
      <c r="C6" s="8">
        <f>AVERAGEIF('Sales Log'!$U$14:$U$213,C2,'Sales Log'!$J$14:$J$213)</f>
        <v>42554.833333333336</v>
      </c>
      <c r="D6" s="8">
        <f>AVERAGEIF('Sales Log'!$U$14:$U$213,D2,'Sales Log'!$J$14:$J$213)</f>
        <v>39840.333333333336</v>
      </c>
      <c r="E6" s="8">
        <f>AVERAGEIF('Sales Log'!$U$14:$U$213,E2,'Sales Log'!$J$14:$J$213)</f>
        <v>45912.17391304348</v>
      </c>
      <c r="F6" s="8">
        <f>AVERAGEIF('Sales Log'!$U$14:$U$213,F2,'Sales Log'!$J$14:$J$213)</f>
        <v>27870.833333333332</v>
      </c>
      <c r="G6" s="8">
        <f>AVERAGEIF('Sales Log'!$U$14:$U$213,G2,'Sales Log'!$J$14:$J$213)</f>
        <v>38951.476190476191</v>
      </c>
      <c r="H6" s="8">
        <f>AVERAGEIF('Sales Log'!$U$14:$U$213,H2,'Sales Log'!$J$14:$J$213)</f>
        <v>33854.666666666664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127</v>
      </c>
      <c r="B7" s="8">
        <f>'Sales Log'!$K$214</f>
        <v>38632.283644859817</v>
      </c>
      <c r="C7" s="8">
        <f>AVERAGEIF('Sales Log'!$U$14:$U$213,C2,'Sales Log'!$K$14:$K$213)</f>
        <v>41692.75</v>
      </c>
      <c r="D7" s="8">
        <f>AVERAGEIF('Sales Log'!$U$14:$U$213,D2,'Sales Log'!$K$14:$K$213)</f>
        <v>39546.830333333339</v>
      </c>
      <c r="E7" s="8">
        <f>AVERAGEIF('Sales Log'!$U$14:$U$213,E2,'Sales Log'!$K$14:$K$213)</f>
        <v>45261.236521739127</v>
      </c>
      <c r="F7" s="8">
        <f>AVERAGEIF('Sales Log'!$U$14:$U$213,F2,'Sales Log'!$K$14:$K$213)</f>
        <v>27373.222222222223</v>
      </c>
      <c r="G7" s="8">
        <f>AVERAGEIF('Sales Log'!$U$14:$U$213,G2,'Sales Log'!$K$14:$K$213)</f>
        <v>38649.809523809527</v>
      </c>
      <c r="H7" s="8">
        <f>AVERAGEIF('Sales Log'!$U$14:$U$213,H2,'Sales Log'!$K$14:$K$213)</f>
        <v>33854.666666666664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128</v>
      </c>
      <c r="B8" s="8">
        <f>'Sales Log'!$M$214</f>
        <v>39559.939474181949</v>
      </c>
      <c r="C8" s="8">
        <f>AVERAGEIF('Sales Log'!$U$14:$U$213,C2,'Sales Log'!$M$14:$M$213)</f>
        <v>43398.759972130501</v>
      </c>
      <c r="D8" s="8">
        <f>AVERAGEIF('Sales Log'!$U$14:$U$213,D2,'Sales Log'!$M$14:$M$213)</f>
        <v>40214.41494614062</v>
      </c>
      <c r="E8" s="8">
        <f>AVERAGEIF('Sales Log'!$U$14:$U$213,E2,'Sales Log'!$M$14:$M$213)</f>
        <v>46685.729607200716</v>
      </c>
      <c r="F8" s="8">
        <f>AVERAGEIF('Sales Log'!$U$14:$U$213,F2,'Sales Log'!$M$14:$M$213)</f>
        <v>28474.057217139609</v>
      </c>
      <c r="G8" s="8">
        <f>AVERAGEIF('Sales Log'!$U$14:$U$213,G2,'Sales Log'!$M$14:$M$213)</f>
        <v>38786.197734166111</v>
      </c>
      <c r="H8" s="8">
        <f>AVERAGEIF('Sales Log'!$U$14:$U$213,H2,'Sales Log'!$M$14:$M$213)</f>
        <v>33775.498349834983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129</v>
      </c>
      <c r="B9" s="9">
        <f>'Sales Log'!L214</f>
        <v>0.98822429906542075</v>
      </c>
      <c r="C9" s="14">
        <f>C6/C8</f>
        <v>0.98055413013323167</v>
      </c>
      <c r="D9" s="14">
        <f t="shared" ref="D9:M9" si="0">D6/D8</f>
        <v>0.99069782282526564</v>
      </c>
      <c r="E9" s="14">
        <f t="shared" si="0"/>
        <v>0.98343057502440911</v>
      </c>
      <c r="F9" s="14">
        <f t="shared" si="0"/>
        <v>0.97881496552436609</v>
      </c>
      <c r="G9" s="14">
        <f t="shared" si="0"/>
        <v>1.0042612698837579</v>
      </c>
      <c r="H9" s="14">
        <f t="shared" si="0"/>
        <v>1.002343957030972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130</v>
      </c>
      <c r="B10" s="9">
        <f>'Sales Log'!$N$214</f>
        <v>0.97655062566696926</v>
      </c>
      <c r="C10" s="14">
        <f>C7/C8</f>
        <v>0.96068989129583304</v>
      </c>
      <c r="D10" s="14">
        <f t="shared" ref="D10:M10" si="1">D7/D8</f>
        <v>0.98339937025811808</v>
      </c>
      <c r="E10" s="14">
        <f t="shared" si="1"/>
        <v>0.96948761222226076</v>
      </c>
      <c r="F10" s="14">
        <f t="shared" si="1"/>
        <v>0.96133901865397842</v>
      </c>
      <c r="G10" s="14">
        <f t="shared" si="1"/>
        <v>0.99648358905166823</v>
      </c>
      <c r="H10" s="14">
        <f t="shared" si="1"/>
        <v>1.002343957030972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131</v>
      </c>
      <c r="B11" s="8">
        <f>'Sales Log'!$O$214</f>
        <v>461.80981308411208</v>
      </c>
      <c r="C11" s="8">
        <f>AVERAGEIF('Sales Log'!$U$14:$U$213,C2,'Sales Log'!$O$14:$O$213)</f>
        <v>862.08333333333337</v>
      </c>
      <c r="D11" s="8">
        <f>AVERAGEIF('Sales Log'!$U$14:$U$213,D2,'Sales Log'!$O$14:$O$213)</f>
        <v>293.50299999999987</v>
      </c>
      <c r="E11" s="8">
        <f>AVERAGEIF('Sales Log'!$U$14:$U$213,E2,'Sales Log'!$O$14:$O$213)</f>
        <v>650.93739130434778</v>
      </c>
      <c r="F11" s="8">
        <f>AVERAGEIF('Sales Log'!$U$14:$U$213,F2,'Sales Log'!$O$14:$O$213)</f>
        <v>497.61111111111109</v>
      </c>
      <c r="G11" s="8">
        <f>AVERAGEIF('Sales Log'!$U$14:$U$213,G2,'Sales Log'!$O$14:$O$213)</f>
        <v>301.66666666666669</v>
      </c>
      <c r="H11" s="8">
        <f>AVERAGEIF('Sales Log'!$U$14:$U$213,H2,'Sales Log'!$O$14:$O$213)</f>
        <v>0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132</v>
      </c>
      <c r="B12" s="8">
        <f>'Sales Log'!$P$214</f>
        <v>3340.876448598131</v>
      </c>
      <c r="C12" s="8">
        <f>AVERAGEIF('Sales Log'!$U$14:$U$213,C2,'Sales Log'!$P$14:$P$213)</f>
        <v>3239.5833333333335</v>
      </c>
      <c r="D12" s="8">
        <f>AVERAGEIF('Sales Log'!$U$14:$U$213,D2,'Sales Log'!$P$14:$P$213)</f>
        <v>3624.4926666666665</v>
      </c>
      <c r="E12" s="8">
        <f>AVERAGEIF('Sales Log'!$U$14:$U$213,E2,'Sales Log'!$P$14:$P$213)</f>
        <v>2979.217391304348</v>
      </c>
      <c r="F12" s="8">
        <f>AVERAGEIF('Sales Log'!$U$14:$U$213,F2,'Sales Log'!$P$14:$P$213)</f>
        <v>3563.2777777777778</v>
      </c>
      <c r="G12" s="8">
        <f>AVERAGEIF('Sales Log'!$U$14:$U$213,G2,'Sales Log'!$P$14:$P$213)</f>
        <v>3491.3333333333335</v>
      </c>
      <c r="H12" s="8">
        <f>AVERAGEIF('Sales Log'!$U$14:$U$213,H2,'Sales Log'!$P$14:$P$213)</f>
        <v>1295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133</v>
      </c>
      <c r="B13" s="8">
        <f>'Sales Log'!$Q$214</f>
        <v>1706.7631775700936</v>
      </c>
      <c r="C13" s="8">
        <f>AVERAGEIF('Sales Log'!$U$14:$U$213,C2,'Sales Log'!$Q$14:$Q$213)</f>
        <v>2329.5</v>
      </c>
      <c r="D13" s="8">
        <f>AVERAGEIF('Sales Log'!$U$14:$U$213,D2,'Sales Log'!$Q$14:$Q$213)</f>
        <v>1815.422</v>
      </c>
      <c r="E13" s="8">
        <f>AVERAGEIF('Sales Log'!$U$14:$U$213,E2,'Sales Log'!$Q$14:$Q$213)</f>
        <v>1861.4347826086957</v>
      </c>
      <c r="F13" s="8">
        <f>AVERAGEIF('Sales Log'!$U$14:$U$213,F2,'Sales Log'!$Q$14:$Q$213)</f>
        <v>1072</v>
      </c>
      <c r="G13" s="8">
        <f>AVERAGEIF('Sales Log'!$U$14:$U$213,G2,'Sales Log'!$Q$14:$Q$213)</f>
        <v>1489.1428571428571</v>
      </c>
      <c r="H13" s="8">
        <f>AVERAGEIF('Sales Log'!$U$14:$U$213,H2,'Sales Log'!$Q$14:$Q$213)</f>
        <v>2275.3333333333335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134</v>
      </c>
      <c r="B14" s="8">
        <f>'Sales Log'!$R$214</f>
        <v>5047.6396261682239</v>
      </c>
      <c r="C14" s="8">
        <f>AVERAGEIF('Sales Log'!$U$14:$U$213,C2,'Sales Log'!$R$14:$R$213)</f>
        <v>5569.083333333333</v>
      </c>
      <c r="D14" s="8">
        <f>AVERAGEIF('Sales Log'!$U$14:$U$213,D2,'Sales Log'!$R$14:$R$213)</f>
        <v>5439.9146666666666</v>
      </c>
      <c r="E14" s="8">
        <f>AVERAGEIF('Sales Log'!$U$14:$U$213,E2,'Sales Log'!$R$14:$R$213)</f>
        <v>4840.652173913043</v>
      </c>
      <c r="F14" s="8">
        <f>AVERAGEIF('Sales Log'!$U$14:$U$213,F2,'Sales Log'!$R$14:$R$213)</f>
        <v>4635.2777777777774</v>
      </c>
      <c r="G14" s="8">
        <f>AVERAGEIF('Sales Log'!$U$14:$U$213,G2,'Sales Log'!$R$14:$R$213)</f>
        <v>4980.4761904761908</v>
      </c>
      <c r="H14" s="8">
        <f>AVERAGEIF('Sales Log'!$U$14:$U$213,H2,'Sales Log'!$R$14:$R$213)</f>
        <v>3570.3333333333335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75" customHeight="1">
      <c r="A15" s="5" t="s">
        <v>135</v>
      </c>
      <c r="B15" s="10">
        <f>B14*B4</f>
        <v>540097.43999999994</v>
      </c>
      <c r="C15" s="10">
        <f>C14*C4</f>
        <v>66829</v>
      </c>
      <c r="D15" s="10">
        <f t="shared" ref="D15:F15" si="2">D14*D4</f>
        <v>163197.44</v>
      </c>
      <c r="E15" s="10">
        <f t="shared" si="2"/>
        <v>111334.99999999999</v>
      </c>
      <c r="F15" s="10">
        <f t="shared" si="2"/>
        <v>83435</v>
      </c>
      <c r="G15" s="10">
        <f t="shared" ref="G15:J15" si="3">G14*G4</f>
        <v>104590</v>
      </c>
      <c r="H15" s="10">
        <f t="shared" si="3"/>
        <v>10711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89</v>
      </c>
      <c r="B16" s="9">
        <f>(B14/(B7)*(360/B5))</f>
        <v>0.80954942957906251</v>
      </c>
      <c r="C16" s="9">
        <f t="shared" ref="C16:M16" ca="1" si="5">(C14/(C7)*(360/C5))</f>
        <v>0.90445349863023372</v>
      </c>
      <c r="D16" s="9">
        <f t="shared" ca="1" si="5"/>
        <v>1.1314606012504835</v>
      </c>
      <c r="E16" s="9">
        <f t="shared" ca="1" si="5"/>
        <v>0.3916582123426039</v>
      </c>
      <c r="F16" s="9">
        <f t="shared" ca="1" si="5"/>
        <v>1.6575508423716232</v>
      </c>
      <c r="G16" s="9">
        <f t="shared" ca="1" si="5"/>
        <v>0.87923616928512638</v>
      </c>
      <c r="H16" s="9">
        <f t="shared" ca="1" si="5"/>
        <v>0.48466997436685988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136</v>
      </c>
      <c r="B17" s="9">
        <f>'Sales Log'!AA214/'Scoreboard Total'!B3</f>
        <v>0.31775700934579437</v>
      </c>
      <c r="C17" s="9">
        <f>COUNTIFS('Sales Log'!$U$14:$U$213,'Scoreboard DM'!C$2,'Sales Log'!$AA$14:$AA$213,"Yes")/C$4</f>
        <v>0.33333333333333331</v>
      </c>
      <c r="D17" s="9">
        <f>COUNTIFS('Sales Log'!$U$14:$U$213,'Scoreboard DM'!D$2,'Sales Log'!$AA$14:$AA$213,"Yes")/D$4</f>
        <v>0.3</v>
      </c>
      <c r="E17" s="9">
        <f>COUNTIFS('Sales Log'!$U$14:$U$213,'Scoreboard DM'!E$2,'Sales Log'!$AA$14:$AA$213,"Yes")/E$4</f>
        <v>0.34782608695652173</v>
      </c>
      <c r="F17" s="9">
        <f>COUNTIFS('Sales Log'!$U$14:$U$213,'Scoreboard DM'!F$2,'Sales Log'!$AA$14:$AA$213,"Yes")/F$4</f>
        <v>0.22222222222222221</v>
      </c>
      <c r="G17" s="9">
        <f>COUNTIFS('Sales Log'!$U$14:$U$213,'Scoreboard DM'!G$2,'Sales Log'!$AA$14:$AA$213,"Yes")/G$4</f>
        <v>0.33333333333333331</v>
      </c>
      <c r="H17" s="9">
        <f>COUNTIFS('Sales Log'!$U$14:$U$213,'Scoreboard DM'!H$2,'Sales Log'!$AA$14:$AA$213,"Yes")/H$4</f>
        <v>0.66666666666666663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137</v>
      </c>
      <c r="B18" s="114">
        <f>'Sales Log'!$AB$214</f>
        <v>-32.074672897196258</v>
      </c>
      <c r="C18" s="114">
        <f>AVERAGEIF('Sales Log'!$U$14:$U$213,C2,'Sales Log'!$AB$14:$AB$213)</f>
        <v>-83.333333333333329</v>
      </c>
      <c r="D18" s="114">
        <f>AVERAGEIF('Sales Log'!$U$14:$U$213,D2,'Sales Log'!$AB$14:$AB$213)</f>
        <v>116.66666666666667</v>
      </c>
      <c r="E18" s="114">
        <f>AVERAGEIF('Sales Log'!$U$14:$U$213,E2,'Sales Log'!$AB$14:$AB$213)</f>
        <v>-65.217391304347828</v>
      </c>
      <c r="F18" s="114">
        <f>AVERAGEIF('Sales Log'!$U$14:$U$213,F2,'Sales Log'!$AB$14:$AB$213)</f>
        <v>-55.555555555555557</v>
      </c>
      <c r="G18" s="114">
        <f>AVERAGEIF('Sales Log'!$U$14:$U$213,G2,'Sales Log'!$AB$14:$AB$213)</f>
        <v>-163.42809523809524</v>
      </c>
      <c r="H18" s="114">
        <f>AVERAGEIF('Sales Log'!$U$14:$U$213,H2,'Sales Log'!$AB$14:$AB$213)</f>
        <v>0</v>
      </c>
      <c r="I18" s="114" t="e">
        <f>AVERAGEIF('Sales Log'!$U$14:$U$213,I2,'Sales Log'!$AB$14:$AB$213)</f>
        <v>#DIV/0!</v>
      </c>
      <c r="J18" s="114" t="e">
        <f>AVERAGEIF('Sales Log'!$U$14:$U$213,J2,'Sales Log'!$AB$14:$AB$213)</f>
        <v>#DIV/0!</v>
      </c>
      <c r="K18" s="114" t="e">
        <f>AVERAGEIF('Sales Log'!$U$14:$U$213,K2,'Sales Log'!$AB$14:$AB$213)</f>
        <v>#DIV/0!</v>
      </c>
      <c r="L18" s="114" t="e">
        <f>AVERAGEIF('Sales Log'!$U$14:$U$213,L2,'Sales Log'!$AB$14:$AB$213)</f>
        <v>#DIV/0!</v>
      </c>
      <c r="M18" s="114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I1" activePane="topRight" state="frozen"/>
      <selection pane="topRight" activeCell="T2" sqref="T2"/>
    </sheetView>
  </sheetViews>
  <sheetFormatPr defaultRowHeight="15"/>
  <cols>
    <col min="1" max="1" width="37.5703125" customWidth="1"/>
    <col min="2" max="2" width="13.42578125" customWidth="1"/>
    <col min="3" max="12" width="19.7109375" customWidth="1"/>
    <col min="13" max="63" width="18.42578125" customWidth="1"/>
  </cols>
  <sheetData>
    <row r="1" spans="1:63" ht="22.5" customHeight="1" thickBot="1">
      <c r="A1" s="20" t="s">
        <v>138</v>
      </c>
      <c r="B1" s="21"/>
      <c r="C1" s="43" t="s">
        <v>139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142</v>
      </c>
      <c r="B2" s="22" t="s">
        <v>140</v>
      </c>
      <c r="C2" s="31" t="s">
        <v>160</v>
      </c>
      <c r="D2" s="31" t="s">
        <v>161</v>
      </c>
      <c r="E2" s="31" t="s">
        <v>162</v>
      </c>
      <c r="F2" s="31" t="s">
        <v>163</v>
      </c>
      <c r="G2" s="31" t="s">
        <v>164</v>
      </c>
      <c r="H2" s="31" t="s">
        <v>165</v>
      </c>
      <c r="I2" s="31" t="s">
        <v>166</v>
      </c>
      <c r="J2" s="31" t="s">
        <v>167</v>
      </c>
      <c r="K2" s="31" t="s">
        <v>173</v>
      </c>
      <c r="L2" s="31" t="s">
        <v>174</v>
      </c>
      <c r="M2" s="31" t="s">
        <v>220</v>
      </c>
      <c r="N2" s="31" t="s">
        <v>285</v>
      </c>
      <c r="O2" s="31" t="s">
        <v>287</v>
      </c>
      <c r="P2" s="31" t="s">
        <v>287</v>
      </c>
      <c r="Q2" s="31" t="s">
        <v>323</v>
      </c>
      <c r="R2" s="31" t="s">
        <v>325</v>
      </c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141</v>
      </c>
      <c r="B3" s="14">
        <f>COUNTIFS('Sales Log'!$I$14:$I$213,"No")/B4</f>
        <v>0.48598130841121495</v>
      </c>
      <c r="C3" s="14">
        <f>COUNTIFS('Sales Log'!$I$14:$I$213,"No",'Sales Log'!$T$14:$T$213,C2)/C4</f>
        <v>0.46666666666666667</v>
      </c>
      <c r="D3" s="14">
        <f>COUNTIFS('Sales Log'!$I$14:$I$213,"No",'Sales Log'!$T$14:$T$213,D2)/D4</f>
        <v>0.5714285714285714</v>
      </c>
      <c r="E3" s="14">
        <f>COUNTIFS('Sales Log'!$I$14:$I$213,"No",'Sales Log'!$T$14:$T$213,E2)/E4</f>
        <v>0.4</v>
      </c>
      <c r="F3" s="14">
        <f>COUNTIFS('Sales Log'!$I$14:$I$213,"No",'Sales Log'!$T$14:$T$213,F2)/F4</f>
        <v>0.55555555555555558</v>
      </c>
      <c r="G3" s="14">
        <f>COUNTIFS('Sales Log'!$I$14:$I$213,"No",'Sales Log'!$T$14:$T$213,G2)/G4</f>
        <v>0.43478260869565216</v>
      </c>
      <c r="H3" s="14">
        <f>COUNTIFS('Sales Log'!$I$14:$I$213,"No",'Sales Log'!$T$14:$T$213,H2)/H4</f>
        <v>0.42857142857142855</v>
      </c>
      <c r="I3" s="14">
        <f>COUNTIFS('Sales Log'!$I$14:$I$213,"No",'Sales Log'!$T$14:$T$213,I2)/I4</f>
        <v>0.5714285714285714</v>
      </c>
      <c r="J3" s="14">
        <f>COUNTIFS('Sales Log'!$I$14:$I$213,"No",'Sales Log'!$T$14:$T$213,J2)/J4</f>
        <v>0</v>
      </c>
      <c r="K3" s="14">
        <f>COUNTIFS('Sales Log'!$I$14:$I$213,"No",'Sales Log'!$T$14:$T$213,K2)/K4</f>
        <v>0.55555555555555558</v>
      </c>
      <c r="L3" s="14">
        <f>COUNTIFS('Sales Log'!$I$14:$I$213,"No",'Sales Log'!$T$14:$T$213,L2)/L4</f>
        <v>0.5</v>
      </c>
      <c r="M3" s="14">
        <f>COUNTIFS('Sales Log'!$I$14:$I$213,"No",'Sales Log'!$T$14:$T$213,M2)/M4</f>
        <v>1</v>
      </c>
      <c r="N3" s="14">
        <f>COUNTIFS('Sales Log'!$I$14:$I$213,"No",'Sales Log'!$T$14:$T$213,N2)/N4</f>
        <v>1</v>
      </c>
      <c r="O3" s="14">
        <f>COUNTIFS('Sales Log'!$I$14:$I$213,"No",'Sales Log'!$T$14:$T$213,O2)/O4</f>
        <v>0</v>
      </c>
      <c r="P3" s="14">
        <f>COUNTIFS('Sales Log'!$I$14:$I$213,"No",'Sales Log'!$T$14:$T$213,P2)/P4</f>
        <v>0</v>
      </c>
      <c r="Q3" s="14">
        <f>COUNTIFS('Sales Log'!$I$14:$I$213,"No",'Sales Log'!$T$14:$T$213,Q2)/Q4</f>
        <v>1</v>
      </c>
      <c r="R3" s="14">
        <f>COUNTIFS('Sales Log'!$I$14:$I$213,"No",'Sales Log'!$T$14:$T$213,R2)/R4</f>
        <v>0</v>
      </c>
      <c r="S3" s="14" t="e">
        <f>COUNTIFS('Sales Log'!$I$14:$I$213,"No",'Sales Log'!$T$14:$T$213,S2)/S4</f>
        <v>#DIV/0!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124</v>
      </c>
      <c r="B4" s="6">
        <f>'Scoreboard Total'!B3</f>
        <v>107</v>
      </c>
      <c r="C4" s="39">
        <f>COUNTIF('Sales Log'!$T$14:$T$213,C2)</f>
        <v>15</v>
      </c>
      <c r="D4" s="39">
        <f>COUNTIF('Sales Log'!$T$14:$T$213,D2)</f>
        <v>14</v>
      </c>
      <c r="E4" s="39">
        <f>COUNTIF('Sales Log'!$T$14:$T$213,E2)</f>
        <v>10</v>
      </c>
      <c r="F4" s="39">
        <f>COUNTIF('Sales Log'!$T$14:$T$213,F2)</f>
        <v>9</v>
      </c>
      <c r="G4" s="39">
        <f>COUNTIF('Sales Log'!$T$14:$T$213,G2)</f>
        <v>23</v>
      </c>
      <c r="H4" s="39">
        <f>COUNTIF('Sales Log'!$T$14:$T$213,H2)</f>
        <v>7</v>
      </c>
      <c r="I4" s="39">
        <f>COUNTIF('Sales Log'!$T$14:$T$213,I2)</f>
        <v>7</v>
      </c>
      <c r="J4" s="39">
        <f>COUNTIF('Sales Log'!$T$14:$T$213,J2)</f>
        <v>3</v>
      </c>
      <c r="K4" s="39">
        <f>COUNTIF('Sales Log'!$T$14:$T$213,K2)</f>
        <v>9</v>
      </c>
      <c r="L4" s="39">
        <f>COUNTIF('Sales Log'!$T$14:$T$213,L2)</f>
        <v>2</v>
      </c>
      <c r="M4" s="39">
        <f>COUNTIF('Sales Log'!$T$14:$T$213,M2)</f>
        <v>2</v>
      </c>
      <c r="N4" s="39">
        <f>COUNTIF('Sales Log'!$T$14:$T$213,N2)</f>
        <v>1</v>
      </c>
      <c r="O4" s="39">
        <f>COUNTIF('Sales Log'!$T$14:$T$213,O2)</f>
        <v>1</v>
      </c>
      <c r="P4" s="39">
        <f>COUNTIF('Sales Log'!$T$14:$T$213,P2)</f>
        <v>1</v>
      </c>
      <c r="Q4" s="39">
        <f>COUNTIF('Sales Log'!$T$14:$T$213,Q2)</f>
        <v>2</v>
      </c>
      <c r="R4" s="39">
        <f>COUNTIF('Sales Log'!$T$14:$T$213,R2)</f>
        <v>2</v>
      </c>
      <c r="S4" s="39">
        <f>COUNTIF('Sales Log'!$T$14:$T$213,S2)</f>
        <v>0</v>
      </c>
      <c r="T4" s="39">
        <f>COUNTIF('Sales Log'!$T$14:$T$213,T2)</f>
        <v>0</v>
      </c>
      <c r="U4" s="39">
        <f>COUNTIF('Sales Log'!$T$14:$T$213,U2)</f>
        <v>0</v>
      </c>
      <c r="V4" s="39">
        <f>COUNTIF('Sales Log'!$T$14:$T$213,V2)</f>
        <v>0</v>
      </c>
      <c r="W4" s="39">
        <f>COUNTIF('Sales Log'!$T$14:$T$213,W2)</f>
        <v>0</v>
      </c>
      <c r="X4" s="39">
        <f>COUNTIF('Sales Log'!$T$14:$T$213,X2)</f>
        <v>0</v>
      </c>
      <c r="Y4" s="39">
        <f>COUNTIF('Sales Log'!$T$14:$T$213,Y2)</f>
        <v>0</v>
      </c>
      <c r="Z4" s="39">
        <f>COUNTIF('Sales Log'!$T$14:$T$213,Z2)</f>
        <v>0</v>
      </c>
      <c r="AA4" s="39">
        <f>COUNTIF('Sales Log'!$T$14:$T$213,AA2)</f>
        <v>0</v>
      </c>
      <c r="AB4" s="39">
        <f>COUNTIF('Sales Log'!$T$14:$T$213,AB2)</f>
        <v>0</v>
      </c>
      <c r="AC4" s="39">
        <f>COUNTIF('Sales Log'!$T$14:$T$213,AC2)</f>
        <v>0</v>
      </c>
      <c r="AD4" s="39">
        <f>COUNTIF('Sales Log'!$T$14:$T$213,AD2)</f>
        <v>0</v>
      </c>
      <c r="AE4" s="39">
        <f>COUNTIF('Sales Log'!$T$14:$T$213,AE2)</f>
        <v>0</v>
      </c>
      <c r="AF4" s="39">
        <f>COUNTIF('Sales Log'!$T$14:$T$213,AF2)</f>
        <v>0</v>
      </c>
      <c r="AG4" s="39">
        <f>COUNTIF('Sales Log'!$T$14:$T$213,AG2)</f>
        <v>0</v>
      </c>
      <c r="AH4" s="39">
        <f>COUNTIF('Sales Log'!$T$14:$T$213,AH2)</f>
        <v>0</v>
      </c>
      <c r="AI4" s="39">
        <f>COUNTIF('Sales Log'!$T$14:$T$213,AI2)</f>
        <v>0</v>
      </c>
      <c r="AJ4" s="39">
        <f>COUNTIF('Sales Log'!$T$14:$T$213,AJ2)</f>
        <v>0</v>
      </c>
      <c r="AK4" s="39">
        <f>COUNTIF('Sales Log'!$T$14:$T$213,AK2)</f>
        <v>0</v>
      </c>
      <c r="AL4" s="39">
        <f>COUNTIF('Sales Log'!$T$14:$T$213,AL2)</f>
        <v>0</v>
      </c>
      <c r="AM4" s="39">
        <f>COUNTIF('Sales Log'!$T$14:$T$213,AM2)</f>
        <v>0</v>
      </c>
      <c r="AN4" s="39">
        <f>COUNTIF('Sales Log'!$T$14:$T$213,AN2)</f>
        <v>0</v>
      </c>
      <c r="AO4" s="39">
        <f>COUNTIF('Sales Log'!$T$14:$T$213,AO2)</f>
        <v>0</v>
      </c>
      <c r="AP4" s="39">
        <f>COUNTIF('Sales Log'!$T$14:$T$213,AP2)</f>
        <v>0</v>
      </c>
      <c r="AQ4" s="39">
        <f>COUNTIF('Sales Log'!$T$14:$T$213,AQ2)</f>
        <v>0</v>
      </c>
      <c r="AR4" s="39">
        <f>COUNTIF('Sales Log'!$T$14:$T$213,AR2)</f>
        <v>0</v>
      </c>
      <c r="AS4" s="39">
        <f>COUNTIF('Sales Log'!$T$14:$T$213,AS2)</f>
        <v>0</v>
      </c>
      <c r="AT4" s="39">
        <f>COUNTIF('Sales Log'!$T$14:$T$213,AT2)</f>
        <v>0</v>
      </c>
      <c r="AU4" s="39">
        <f>COUNTIF('Sales Log'!$T$14:$T$213,AU2)</f>
        <v>0</v>
      </c>
      <c r="AV4" s="39">
        <f>COUNTIF('Sales Log'!$T$14:$T$213,AV2)</f>
        <v>0</v>
      </c>
      <c r="AW4" s="39">
        <f>COUNTIF('Sales Log'!$T$14:$T$213,AW2)</f>
        <v>0</v>
      </c>
      <c r="AX4" s="39">
        <f>COUNTIF('Sales Log'!$T$14:$T$213,AX2)</f>
        <v>0</v>
      </c>
      <c r="AY4" s="39">
        <f>COUNTIF('Sales Log'!$T$14:$T$213,AY2)</f>
        <v>0</v>
      </c>
      <c r="AZ4" s="39">
        <f>COUNTIF('Sales Log'!$T$14:$T$213,AZ2)</f>
        <v>0</v>
      </c>
      <c r="BA4" s="39">
        <f>COUNTIF('Sales Log'!$T$14:$T$213,BA2)</f>
        <v>0</v>
      </c>
      <c r="BB4" s="39">
        <f>COUNTIF('Sales Log'!$T$14:$T$213,BB2)</f>
        <v>0</v>
      </c>
      <c r="BC4" s="39">
        <f>COUNTIF('Sales Log'!$T$14:$T$213,BC2)</f>
        <v>0</v>
      </c>
      <c r="BD4" s="39">
        <f>COUNTIF('Sales Log'!$T$14:$T$213,BD2)</f>
        <v>0</v>
      </c>
      <c r="BE4" s="39">
        <f>COUNTIF('Sales Log'!$T$14:$T$213,BE2)</f>
        <v>0</v>
      </c>
      <c r="BF4" s="39">
        <f>COUNTIF('Sales Log'!$T$14:$T$213,BF2)</f>
        <v>0</v>
      </c>
      <c r="BG4" s="39">
        <f>COUNTIF('Sales Log'!$T$14:$T$213,BG2)</f>
        <v>0</v>
      </c>
      <c r="BH4" s="39">
        <f>COUNTIF('Sales Log'!$T$14:$T$213,BH2)</f>
        <v>0</v>
      </c>
      <c r="BI4" s="39">
        <f>COUNTIF('Sales Log'!$T$14:$T$213,BI2)</f>
        <v>0</v>
      </c>
      <c r="BJ4" s="39">
        <f>COUNTIF('Sales Log'!$T$14:$T$213,BJ2)</f>
        <v>0</v>
      </c>
      <c r="BK4" s="39">
        <f>COUNTIF('Sales Log'!$T$14:$T$213,BK2)</f>
        <v>0</v>
      </c>
    </row>
    <row r="5" spans="1:63" ht="21.75" customHeight="1">
      <c r="A5" s="5" t="s">
        <v>125</v>
      </c>
      <c r="B5" s="7">
        <f>'Sales Log'!$F$214</f>
        <v>58.10280373831776</v>
      </c>
      <c r="C5" s="24">
        <f ca="1">AVERAGEIF('Sales Log'!$T$14:$T$213,C2,'Sales Log'!$F$14:$F$209)</f>
        <v>42.4</v>
      </c>
      <c r="D5" s="24">
        <f ca="1">AVERAGEIF('Sales Log'!$T$14:$T$213,D2,'Sales Log'!$F$14:$F$209)</f>
        <v>44.928571428571431</v>
      </c>
      <c r="E5" s="24">
        <f ca="1">AVERAGEIF('Sales Log'!$T$14:$T$213,E2,'Sales Log'!$F$14:$F$209)</f>
        <v>65.3</v>
      </c>
      <c r="F5" s="24">
        <f ca="1">AVERAGEIF('Sales Log'!$T$14:$T$213,F2,'Sales Log'!$F$14:$F$209)</f>
        <v>67</v>
      </c>
      <c r="G5" s="24">
        <f ca="1">AVERAGEIF('Sales Log'!$T$14:$T$213,G2,'Sales Log'!$F$14:$F$209)</f>
        <v>51.826086956521742</v>
      </c>
      <c r="H5" s="24">
        <f ca="1">AVERAGEIF('Sales Log'!$T$14:$T$213,H2,'Sales Log'!$F$14:$F$209)</f>
        <v>70.571428571428569</v>
      </c>
      <c r="I5" s="24">
        <f ca="1">AVERAGEIF('Sales Log'!$T$14:$T$213,I2,'Sales Log'!$F$14:$F$209)</f>
        <v>67.142857142857139</v>
      </c>
      <c r="J5" s="24">
        <f ca="1">AVERAGEIF('Sales Log'!$T$14:$T$213,J2,'Sales Log'!$F$14:$F$209)</f>
        <v>34.666666666666664</v>
      </c>
      <c r="K5" s="24">
        <f ca="1">AVERAGEIF('Sales Log'!$T$14:$T$213,K2,'Sales Log'!$F$14:$F$209)</f>
        <v>62.555555555555557</v>
      </c>
      <c r="L5" s="24">
        <f ca="1">AVERAGEIF('Sales Log'!$T$14:$T$213,L2,'Sales Log'!$F$14:$F$209)</f>
        <v>184.5</v>
      </c>
      <c r="M5" s="24">
        <f ca="1">AVERAGEIF('Sales Log'!$T$14:$T$213,M2,'Sales Log'!$F$14:$F$209)</f>
        <v>46</v>
      </c>
      <c r="N5" s="24">
        <f ca="1">AVERAGEIF('Sales Log'!$T$14:$T$213,N2,'Sales Log'!$F$14:$F$209)</f>
        <v>57</v>
      </c>
      <c r="O5" s="24">
        <f ca="1">AVERAGEIF('Sales Log'!$T$14:$T$213,O2,'Sales Log'!$F$14:$F$209)</f>
        <v>11</v>
      </c>
      <c r="P5" s="24">
        <f ca="1">AVERAGEIF('Sales Log'!$T$14:$T$213,P2,'Sales Log'!$F$14:$F$209)</f>
        <v>11</v>
      </c>
      <c r="Q5" s="24">
        <f ca="1">AVERAGEIF('Sales Log'!$T$14:$T$213,Q2,'Sales Log'!$F$14:$F$209)</f>
        <v>98</v>
      </c>
      <c r="R5" s="24">
        <f ca="1">AVERAGEIF('Sales Log'!$T$14:$T$213,R2,'Sales Log'!$F$14:$F$209)</f>
        <v>74</v>
      </c>
      <c r="S5" s="24" t="e">
        <f ca="1">AVERAGEIF('Sales Log'!$T$14:$T$213,S2,'Sales Log'!$F$14:$F$209)</f>
        <v>#DIV/0!</v>
      </c>
      <c r="T5" s="24" t="e">
        <f ca="1">AVERAGEIF('Sales Log'!$T$14:$T$213,T2,'Sales Log'!$F$14:$F$209)</f>
        <v>#DIV/0!</v>
      </c>
      <c r="U5" s="24" t="e">
        <f ca="1">AVERAGEIF('Sales Log'!$T$14:$T$213,U2,'Sales Log'!$F$14:$F$209)</f>
        <v>#DIV/0!</v>
      </c>
      <c r="V5" s="24" t="e">
        <f ca="1">AVERAGEIF('Sales Log'!$T$14:$T$213,V2,'Sales Log'!$F$14:$F$209)</f>
        <v>#DIV/0!</v>
      </c>
      <c r="W5" s="24" t="e">
        <f ca="1">AVERAGEIF('Sales Log'!$T$14:$T$213,W2,'Sales Log'!$F$14:$F$209)</f>
        <v>#DIV/0!</v>
      </c>
      <c r="X5" s="24" t="e">
        <f ca="1">AVERAGEIF('Sales Log'!$T$14:$T$213,X2,'Sales Log'!$F$14:$F$209)</f>
        <v>#DIV/0!</v>
      </c>
      <c r="Y5" s="24" t="e">
        <f ca="1">AVERAGEIF('Sales Log'!$T$14:$T$213,Y2,'Sales Log'!$F$14:$F$209)</f>
        <v>#DIV/0!</v>
      </c>
      <c r="Z5" s="24" t="e">
        <f ca="1">AVERAGEIF('Sales Log'!$T$14:$T$213,Z2,'Sales Log'!$F$14:$F$209)</f>
        <v>#DIV/0!</v>
      </c>
      <c r="AA5" s="24" t="e">
        <f ca="1">AVERAGEIF('Sales Log'!$T$14:$T$213,AA2,'Sales Log'!$F$14:$F$209)</f>
        <v>#DIV/0!</v>
      </c>
      <c r="AB5" s="24" t="e">
        <f ca="1">AVERAGEIF('Sales Log'!$T$14:$T$213,AB2,'Sales Log'!$F$14:$F$209)</f>
        <v>#DIV/0!</v>
      </c>
      <c r="AC5" s="24" t="e">
        <f ca="1">AVERAGEIF('Sales Log'!$T$14:$T$213,AC2,'Sales Log'!$F$14:$F$209)</f>
        <v>#DIV/0!</v>
      </c>
      <c r="AD5" s="24" t="e">
        <f ca="1">AVERAGEIF('Sales Log'!$T$14:$T$213,AD2,'Sales Log'!$F$14:$F$209)</f>
        <v>#DIV/0!</v>
      </c>
      <c r="AE5" s="24" t="e">
        <f ca="1">AVERAGEIF('Sales Log'!$T$14:$T$213,AE2,'Sales Log'!$F$14:$F$209)</f>
        <v>#DIV/0!</v>
      </c>
      <c r="AF5" s="24" t="e">
        <f ca="1">AVERAGEIF('Sales Log'!$T$14:$T$213,AF2,'Sales Log'!$F$14:$F$209)</f>
        <v>#DIV/0!</v>
      </c>
      <c r="AG5" s="24" t="e">
        <f ca="1">AVERAGEIF('Sales Log'!$T$14:$T$213,AG2,'Sales Log'!$F$14:$F$209)</f>
        <v>#DIV/0!</v>
      </c>
      <c r="AH5" s="24" t="e">
        <f ca="1">AVERAGEIF('Sales Log'!$T$14:$T$213,AH2,'Sales Log'!$F$14:$F$209)</f>
        <v>#DIV/0!</v>
      </c>
      <c r="AI5" s="24" t="e">
        <f ca="1">AVERAGEIF('Sales Log'!$T$14:$T$213,AI2,'Sales Log'!$F$14:$F$209)</f>
        <v>#DIV/0!</v>
      </c>
      <c r="AJ5" s="24" t="e">
        <f ca="1">AVERAGEIF('Sales Log'!$T$14:$T$213,AJ2,'Sales Log'!$F$14:$F$209)</f>
        <v>#DIV/0!</v>
      </c>
      <c r="AK5" s="24" t="e">
        <f ca="1">AVERAGEIF('Sales Log'!$T$14:$T$213,AK2,'Sales Log'!$F$14:$F$209)</f>
        <v>#DIV/0!</v>
      </c>
      <c r="AL5" s="24" t="e">
        <f ca="1">AVERAGEIF('Sales Log'!$T$14:$T$213,AL2,'Sales Log'!$F$14:$F$209)</f>
        <v>#DIV/0!</v>
      </c>
      <c r="AM5" s="24" t="e">
        <f ca="1">AVERAGEIF('Sales Log'!$T$14:$T$213,AM2,'Sales Log'!$F$14:$F$209)</f>
        <v>#DIV/0!</v>
      </c>
      <c r="AN5" s="24" t="e">
        <f ca="1">AVERAGEIF('Sales Log'!$T$14:$T$213,AN2,'Sales Log'!$F$14:$F$209)</f>
        <v>#DIV/0!</v>
      </c>
      <c r="AO5" s="24" t="e">
        <f ca="1">AVERAGEIF('Sales Log'!$T$14:$T$213,AO2,'Sales Log'!$F$14:$F$209)</f>
        <v>#DIV/0!</v>
      </c>
      <c r="AP5" s="24" t="e">
        <f ca="1">AVERAGEIF('Sales Log'!$T$14:$T$213,AP2,'Sales Log'!$F$14:$F$209)</f>
        <v>#DIV/0!</v>
      </c>
      <c r="AQ5" s="24" t="e">
        <f ca="1">AVERAGEIF('Sales Log'!$T$14:$T$213,AQ2,'Sales Log'!$F$14:$F$209)</f>
        <v>#DIV/0!</v>
      </c>
      <c r="AR5" s="24" t="e">
        <f ca="1">AVERAGEIF('Sales Log'!$T$14:$T$213,AR2,'Sales Log'!$F$14:$F$209)</f>
        <v>#DIV/0!</v>
      </c>
      <c r="AS5" s="24" t="e">
        <f ca="1">AVERAGEIF('Sales Log'!$T$14:$T$213,AS2,'Sales Log'!$F$14:$F$209)</f>
        <v>#DIV/0!</v>
      </c>
      <c r="AT5" s="24" t="e">
        <f ca="1">AVERAGEIF('Sales Log'!$T$14:$T$213,AT2,'Sales Log'!$F$14:$F$209)</f>
        <v>#DIV/0!</v>
      </c>
      <c r="AU5" s="24" t="e">
        <f ca="1">AVERAGEIF('Sales Log'!$T$14:$T$213,AU2,'Sales Log'!$F$14:$F$209)</f>
        <v>#DIV/0!</v>
      </c>
      <c r="AV5" s="24" t="e">
        <f ca="1">AVERAGEIF('Sales Log'!$T$14:$T$213,AV2,'Sales Log'!$F$14:$F$209)</f>
        <v>#DIV/0!</v>
      </c>
      <c r="AW5" s="24" t="e">
        <f ca="1">AVERAGEIF('Sales Log'!$T$14:$T$213,AW2,'Sales Log'!$F$14:$F$209)</f>
        <v>#DIV/0!</v>
      </c>
      <c r="AX5" s="24" t="e">
        <f ca="1">AVERAGEIF('Sales Log'!$T$14:$T$213,AX2,'Sales Log'!$F$14:$F$209)</f>
        <v>#DIV/0!</v>
      </c>
      <c r="AY5" s="24" t="e">
        <f ca="1">AVERAGEIF('Sales Log'!$T$14:$T$213,AY2,'Sales Log'!$F$14:$F$209)</f>
        <v>#DIV/0!</v>
      </c>
      <c r="AZ5" s="24" t="e">
        <f ca="1">AVERAGEIF('Sales Log'!$T$14:$T$213,AZ2,'Sales Log'!$F$14:$F$209)</f>
        <v>#DIV/0!</v>
      </c>
      <c r="BA5" s="24" t="e">
        <f ca="1">AVERAGEIF('Sales Log'!$T$14:$T$213,BA2,'Sales Log'!$F$14:$F$209)</f>
        <v>#DIV/0!</v>
      </c>
      <c r="BB5" s="24" t="e">
        <f ca="1">AVERAGEIF('Sales Log'!$T$14:$T$213,BB2,'Sales Log'!$F$14:$F$209)</f>
        <v>#DIV/0!</v>
      </c>
      <c r="BC5" s="24" t="e">
        <f ca="1">AVERAGEIF('Sales Log'!$T$14:$T$213,BC2,'Sales Log'!$F$14:$F$209)</f>
        <v>#DIV/0!</v>
      </c>
      <c r="BD5" s="24" t="e">
        <f ca="1">AVERAGEIF('Sales Log'!$T$14:$T$213,BD2,'Sales Log'!$F$14:$F$209)</f>
        <v>#DIV/0!</v>
      </c>
      <c r="BE5" s="24" t="e">
        <f ca="1">AVERAGEIF('Sales Log'!$T$14:$T$213,BE2,'Sales Log'!$F$14:$F$209)</f>
        <v>#DIV/0!</v>
      </c>
      <c r="BF5" s="24" t="e">
        <f ca="1">AVERAGEIF('Sales Log'!$T$14:$T$213,BF2,'Sales Log'!$F$14:$F$209)</f>
        <v>#DIV/0!</v>
      </c>
      <c r="BG5" s="24" t="e">
        <f ca="1">AVERAGEIF('Sales Log'!$T$14:$T$213,BG2,'Sales Log'!$F$14:$F$209)</f>
        <v>#DIV/0!</v>
      </c>
      <c r="BH5" s="24" t="e">
        <f ca="1">AVERAGEIF('Sales Log'!$T$14:$T$213,BH2,'Sales Log'!$F$14:$F$209)</f>
        <v>#DIV/0!</v>
      </c>
      <c r="BI5" s="24" t="e">
        <f ca="1">AVERAGEIF('Sales Log'!$T$14:$T$213,BI2,'Sales Log'!$F$14:$F$209)</f>
        <v>#DIV/0!</v>
      </c>
      <c r="BJ5" s="24" t="e">
        <f ca="1">AVERAGEIF('Sales Log'!$T$14:$T$213,BJ2,'Sales Log'!$F$14:$F$209)</f>
        <v>#DIV/0!</v>
      </c>
      <c r="BK5" s="24" t="e">
        <f ca="1">AVERAGEIF('Sales Log'!$T$14:$T$213,BK2,'Sales Log'!$F$14:$F$209)</f>
        <v>#DIV/0!</v>
      </c>
    </row>
    <row r="6" spans="1:63" ht="22.5" customHeight="1">
      <c r="A6" s="5" t="s">
        <v>126</v>
      </c>
      <c r="B6" s="8">
        <f>'Sales Log'!$J$214</f>
        <v>39094.093457943927</v>
      </c>
      <c r="C6" s="8">
        <f>AVERAGEIF('Sales Log'!$T$14:$T$213,C2,'Sales Log'!$J$14:$J$213)</f>
        <v>47103.533333333333</v>
      </c>
      <c r="D6" s="8">
        <f>AVERAGEIF('Sales Log'!$T$14:$T$213,D2,'Sales Log'!$J$14:$J$213)</f>
        <v>41579.071428571428</v>
      </c>
      <c r="E6" s="8">
        <f>AVERAGEIF('Sales Log'!$T$14:$T$213,E2,'Sales Log'!$J$14:$J$213)</f>
        <v>40700.800000000003</v>
      </c>
      <c r="F6" s="8">
        <f>AVERAGEIF('Sales Log'!$T$14:$T$213,F2,'Sales Log'!$J$14:$J$213)</f>
        <v>39750.222222222219</v>
      </c>
      <c r="G6" s="8">
        <f>AVERAGEIF('Sales Log'!$T$14:$T$213,G2,'Sales Log'!$J$14:$J$213)</f>
        <v>37336.17391304348</v>
      </c>
      <c r="H6" s="8">
        <f>AVERAGEIF('Sales Log'!$T$14:$T$213,H2,'Sales Log'!$J$14:$J$213)</f>
        <v>39216.571428571428</v>
      </c>
      <c r="I6" s="8">
        <f>AVERAGEIF('Sales Log'!$T$14:$T$213,I2,'Sales Log'!$J$14:$J$213)</f>
        <v>35276.428571428572</v>
      </c>
      <c r="J6" s="8">
        <f>AVERAGEIF('Sales Log'!$T$14:$T$213,J2,'Sales Log'!$J$14:$J$213)</f>
        <v>28652.333333333332</v>
      </c>
      <c r="K6" s="8">
        <f>AVERAGEIF('Sales Log'!$T$14:$T$213,K2,'Sales Log'!$J$14:$J$213)</f>
        <v>37156.555555555555</v>
      </c>
      <c r="L6" s="8">
        <f>AVERAGEIF('Sales Log'!$T$14:$T$213,L2,'Sales Log'!$J$14:$J$213)</f>
        <v>49494</v>
      </c>
      <c r="M6" s="8">
        <f>AVERAGEIF('Sales Log'!$T$14:$T$213,M2,'Sales Log'!$J$14:$J$213)</f>
        <v>26595</v>
      </c>
      <c r="N6" s="8">
        <f>AVERAGEIF('Sales Log'!$T$14:$T$213,N2,'Sales Log'!$J$14:$J$213)</f>
        <v>41981</v>
      </c>
      <c r="O6" s="8">
        <f>AVERAGEIF('Sales Log'!$T$14:$T$213,O2,'Sales Log'!$J$14:$J$213)</f>
        <v>16981</v>
      </c>
      <c r="P6" s="8">
        <f>AVERAGEIF('Sales Log'!$T$14:$T$213,P2,'Sales Log'!$J$14:$J$213)</f>
        <v>16981</v>
      </c>
      <c r="Q6" s="8">
        <f>AVERAGEIF('Sales Log'!$T$14:$T$213,Q2,'Sales Log'!$J$14:$J$213)</f>
        <v>25991.5</v>
      </c>
      <c r="R6" s="8">
        <f>AVERAGEIF('Sales Log'!$T$14:$T$213,R2,'Sales Log'!$J$14:$J$213)</f>
        <v>32988</v>
      </c>
      <c r="S6" s="8" t="e">
        <f>AVERAGEIF('Sales Log'!$T$14:$T$213,S2,'Sales Log'!$J$14:$J$213)</f>
        <v>#DIV/0!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127</v>
      </c>
      <c r="B7" s="8">
        <f>'Sales Log'!$K$214</f>
        <v>38632.283644859817</v>
      </c>
      <c r="C7" s="8">
        <f>AVERAGEIF('Sales Log'!$T$14:$T$213,C2,'Sales Log'!$K$14:$K$213)</f>
        <v>46516.533333333333</v>
      </c>
      <c r="D7" s="8">
        <f>AVERAGEIF('Sales Log'!$T$14:$T$213,D2,'Sales Log'!$K$14:$K$213)</f>
        <v>41249.357142857145</v>
      </c>
      <c r="E7" s="8">
        <f>AVERAGEIF('Sales Log'!$T$14:$T$213,E2,'Sales Log'!$K$14:$K$213)</f>
        <v>40471.300000000003</v>
      </c>
      <c r="F7" s="8">
        <f>AVERAGEIF('Sales Log'!$T$14:$T$213,F2,'Sales Log'!$K$14:$K$213)</f>
        <v>38914.444444444445</v>
      </c>
      <c r="G7" s="8">
        <f>AVERAGEIF('Sales Log'!$T$14:$T$213,G2,'Sales Log'!$K$14:$K$213)</f>
        <v>37004.584347826087</v>
      </c>
      <c r="H7" s="8">
        <f>AVERAGEIF('Sales Log'!$T$14:$T$213,H2,'Sales Log'!$K$14:$K$213)</f>
        <v>38108.142857142855</v>
      </c>
      <c r="I7" s="8">
        <f>AVERAGEIF('Sales Log'!$T$14:$T$213,I2,'Sales Log'!$K$14:$K$213)</f>
        <v>34907.142857142855</v>
      </c>
      <c r="J7" s="8">
        <f>AVERAGEIF('Sales Log'!$T$14:$T$213,J2,'Sales Log'!$K$14:$K$213)</f>
        <v>28068</v>
      </c>
      <c r="K7" s="8">
        <f>AVERAGEIF('Sales Log'!$T$14:$T$213,K2,'Sales Log'!$K$14:$K$213)</f>
        <v>36788.767777777779</v>
      </c>
      <c r="L7" s="8">
        <f>AVERAGEIF('Sales Log'!$T$14:$T$213,L2,'Sales Log'!$K$14:$K$213)</f>
        <v>49494</v>
      </c>
      <c r="M7" s="8">
        <f>AVERAGEIF('Sales Log'!$T$14:$T$213,M2,'Sales Log'!$K$14:$K$213)</f>
        <v>25379</v>
      </c>
      <c r="N7" s="8">
        <f>AVERAGEIF('Sales Log'!$T$14:$T$213,N2,'Sales Log'!$K$14:$K$213)</f>
        <v>41981</v>
      </c>
      <c r="O7" s="8">
        <f>AVERAGEIF('Sales Log'!$T$14:$T$213,O2,'Sales Log'!$K$14:$K$213)</f>
        <v>16981</v>
      </c>
      <c r="P7" s="8">
        <f>AVERAGEIF('Sales Log'!$T$14:$T$213,P2,'Sales Log'!$K$14:$K$213)</f>
        <v>16981</v>
      </c>
      <c r="Q7" s="8">
        <f>AVERAGEIF('Sales Log'!$T$14:$T$213,Q2,'Sales Log'!$K$14:$K$213)</f>
        <v>25991.5</v>
      </c>
      <c r="R7" s="8">
        <f>AVERAGEIF('Sales Log'!$T$14:$T$213,R2,'Sales Log'!$K$14:$K$213)</f>
        <v>32633</v>
      </c>
      <c r="S7" s="8" t="e">
        <f>AVERAGEIF('Sales Log'!$T$14:$T$213,S2,'Sales Log'!$K$14:$K$213)</f>
        <v>#DIV/0!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128</v>
      </c>
      <c r="B8" s="8">
        <f>'Sales Log'!$M$214</f>
        <v>39559.939474181949</v>
      </c>
      <c r="C8" s="8">
        <f>AVERAGEIF('Sales Log'!$T$14:$T$213,C2,'Sales Log'!$M$14:$M$213)</f>
        <v>47466.095715039759</v>
      </c>
      <c r="D8" s="8">
        <f>AVERAGEIF('Sales Log'!$T$14:$T$213,D2,'Sales Log'!$M$14:$M$213)</f>
        <v>41076.571874387926</v>
      </c>
      <c r="E8" s="8">
        <f>AVERAGEIF('Sales Log'!$T$14:$T$213,E2,'Sales Log'!$M$14:$M$213)</f>
        <v>41021.510634646249</v>
      </c>
      <c r="F8" s="8">
        <f>AVERAGEIF('Sales Log'!$T$14:$T$213,F2,'Sales Log'!$M$14:$M$213)</f>
        <v>40187.404061474153</v>
      </c>
      <c r="G8" s="8">
        <f>AVERAGEIF('Sales Log'!$T$14:$T$213,G2,'Sales Log'!$M$14:$M$213)</f>
        <v>37914.3033520803</v>
      </c>
      <c r="H8" s="8">
        <f>AVERAGEIF('Sales Log'!$T$14:$T$213,H2,'Sales Log'!$M$14:$M$213)</f>
        <v>40623.084094300015</v>
      </c>
      <c r="I8" s="8">
        <f>AVERAGEIF('Sales Log'!$T$14:$T$213,I2,'Sales Log'!$M$14:$M$213)</f>
        <v>35761.625710844826</v>
      </c>
      <c r="J8" s="8">
        <f>AVERAGEIF('Sales Log'!$T$14:$T$213,J2,'Sales Log'!$M$14:$M$213)</f>
        <v>29279.272401433689</v>
      </c>
      <c r="K8" s="8">
        <f>AVERAGEIF('Sales Log'!$T$14:$T$213,K2,'Sales Log'!$M$14:$M$213)</f>
        <v>37507.15562690056</v>
      </c>
      <c r="L8" s="8">
        <f>AVERAGEIF('Sales Log'!$T$14:$T$213,L2,'Sales Log'!$M$14:$M$213)</f>
        <v>51874.44659359553</v>
      </c>
      <c r="M8" s="8">
        <f>AVERAGEIF('Sales Log'!$T$14:$T$213,M2,'Sales Log'!$M$14:$M$213)</f>
        <v>27894.782608695652</v>
      </c>
      <c r="N8" s="8">
        <f>AVERAGEIF('Sales Log'!$T$14:$T$213,N2,'Sales Log'!$M$14:$M$213)</f>
        <v>41981</v>
      </c>
      <c r="O8" s="8">
        <f>AVERAGEIF('Sales Log'!$T$14:$T$213,O2,'Sales Log'!$M$14:$M$213)</f>
        <v>16981</v>
      </c>
      <c r="P8" s="8">
        <f>AVERAGEIF('Sales Log'!$T$14:$T$213,P2,'Sales Log'!$M$14:$M$213)</f>
        <v>16981</v>
      </c>
      <c r="Q8" s="8">
        <f>AVERAGEIF('Sales Log'!$T$14:$T$213,Q2,'Sales Log'!$M$14:$M$213)</f>
        <v>25872.747524752474</v>
      </c>
      <c r="R8" s="8">
        <f>AVERAGEIF('Sales Log'!$T$14:$T$213,R2,'Sales Log'!$M$14:$M$213)</f>
        <v>34011.862244897959</v>
      </c>
      <c r="S8" s="8" t="e">
        <f>AVERAGEIF('Sales Log'!$T$14:$T$213,S2,'Sales Log'!$M$14:$M$213)</f>
        <v>#DIV/0!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129</v>
      </c>
      <c r="B9" s="9">
        <f>'Sales Log'!L214</f>
        <v>0.98822429906542075</v>
      </c>
      <c r="C9" s="14">
        <f>C6/C8</f>
        <v>0.99236165569877388</v>
      </c>
      <c r="D9" s="14">
        <f t="shared" ref="D9:BK9" si="0">D6/D8</f>
        <v>1.0122332398068696</v>
      </c>
      <c r="E9" s="14">
        <f t="shared" si="0"/>
        <v>0.99218189116674371</v>
      </c>
      <c r="F9" s="14">
        <f t="shared" si="0"/>
        <v>0.98912142126465341</v>
      </c>
      <c r="G9" s="14">
        <f t="shared" si="0"/>
        <v>0.98475167976401445</v>
      </c>
      <c r="H9" s="14">
        <f t="shared" si="0"/>
        <v>0.96537651689705306</v>
      </c>
      <c r="I9" s="14">
        <f t="shared" si="0"/>
        <v>0.98643246413517727</v>
      </c>
      <c r="J9" s="14">
        <f t="shared" si="0"/>
        <v>0.97858761449039089</v>
      </c>
      <c r="K9" s="14">
        <f t="shared" si="0"/>
        <v>0.99065244843323841</v>
      </c>
      <c r="L9" s="14">
        <f t="shared" si="0"/>
        <v>0.95411138335132772</v>
      </c>
      <c r="M9" s="14">
        <f t="shared" si="0"/>
        <v>0.9534040961376602</v>
      </c>
      <c r="N9" s="14">
        <f t="shared" si="0"/>
        <v>1</v>
      </c>
      <c r="O9" s="14">
        <f t="shared" si="0"/>
        <v>1</v>
      </c>
      <c r="P9" s="14">
        <f t="shared" si="0"/>
        <v>1</v>
      </c>
      <c r="Q9" s="14">
        <f t="shared" si="0"/>
        <v>1.0045898672003781</v>
      </c>
      <c r="R9" s="14">
        <f t="shared" si="0"/>
        <v>0.96989690721649491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130</v>
      </c>
      <c r="B10" s="9">
        <f>'Sales Log'!$N$214</f>
        <v>0.97655062566696926</v>
      </c>
      <c r="C10" s="14">
        <f>C7/C8</f>
        <v>0.97999493391225867</v>
      </c>
      <c r="D10" s="14">
        <f t="shared" ref="D10:BK10" si="1">D7/D8</f>
        <v>1.0042064189046154</v>
      </c>
      <c r="E10" s="14">
        <f t="shared" si="1"/>
        <v>0.98658726540944242</v>
      </c>
      <c r="F10" s="14">
        <f t="shared" si="1"/>
        <v>0.96832441291598537</v>
      </c>
      <c r="G10" s="14">
        <f t="shared" si="1"/>
        <v>0.9760059153452888</v>
      </c>
      <c r="H10" s="14">
        <f t="shared" si="1"/>
        <v>0.93809083447925512</v>
      </c>
      <c r="I10" s="14">
        <f t="shared" si="1"/>
        <v>0.97610615186761918</v>
      </c>
      <c r="J10" s="14">
        <f t="shared" si="1"/>
        <v>0.9586303790331081</v>
      </c>
      <c r="K10" s="14">
        <f t="shared" si="1"/>
        <v>0.98084664547029676</v>
      </c>
      <c r="L10" s="14">
        <f t="shared" si="1"/>
        <v>0.95411138335132772</v>
      </c>
      <c r="M10" s="14">
        <f t="shared" si="1"/>
        <v>0.90981171482901591</v>
      </c>
      <c r="N10" s="14">
        <f t="shared" si="1"/>
        <v>1</v>
      </c>
      <c r="O10" s="14">
        <f t="shared" si="1"/>
        <v>1</v>
      </c>
      <c r="P10" s="14">
        <f t="shared" si="1"/>
        <v>1</v>
      </c>
      <c r="Q10" s="14">
        <f t="shared" si="1"/>
        <v>1.0045898672003781</v>
      </c>
      <c r="R10" s="14">
        <f t="shared" si="1"/>
        <v>0.95945937229283007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131</v>
      </c>
      <c r="B11" s="8">
        <f>'Sales Log'!$O$214</f>
        <v>461.80981308411208</v>
      </c>
      <c r="C11" s="8">
        <f>AVERAGEIF('Sales Log'!$T$14:$T$213,C2,'Sales Log'!$O$14:$O$213)</f>
        <v>587</v>
      </c>
      <c r="D11" s="8">
        <f>AVERAGEIF('Sales Log'!$T$14:$T$213,D2,'Sales Log'!$O$14:$O$213)</f>
        <v>329.71428571428572</v>
      </c>
      <c r="E11" s="8">
        <f>AVERAGEIF('Sales Log'!$T$14:$T$213,E2,'Sales Log'!$O$14:$O$213)</f>
        <v>229.5</v>
      </c>
      <c r="F11" s="8">
        <f>AVERAGEIF('Sales Log'!$T$14:$T$213,F2,'Sales Log'!$O$14:$O$213)</f>
        <v>835.77777777777783</v>
      </c>
      <c r="G11" s="8">
        <f>AVERAGEIF('Sales Log'!$T$14:$T$213,G2,'Sales Log'!$O$14:$O$213)</f>
        <v>331.58956521739128</v>
      </c>
      <c r="H11" s="8">
        <f>AVERAGEIF('Sales Log'!$T$14:$T$213,H2,'Sales Log'!$O$14:$O$213)</f>
        <v>1108.4285714285713</v>
      </c>
      <c r="I11" s="8">
        <f>AVERAGEIF('Sales Log'!$T$14:$T$213,I2,'Sales Log'!$O$14:$O$213)</f>
        <v>369.28571428571428</v>
      </c>
      <c r="J11" s="8">
        <f>AVERAGEIF('Sales Log'!$T$14:$T$213,J2,'Sales Log'!$O$14:$O$213)</f>
        <v>584.33333333333337</v>
      </c>
      <c r="K11" s="8">
        <f>AVERAGEIF('Sales Log'!$T$14:$T$213,K2,'Sales Log'!$O$14:$O$213)</f>
        <v>367.78777777777736</v>
      </c>
      <c r="L11" s="8">
        <f>AVERAGEIF('Sales Log'!$T$14:$T$213,L2,'Sales Log'!$O$14:$O$213)</f>
        <v>0</v>
      </c>
      <c r="M11" s="8">
        <f>AVERAGEIF('Sales Log'!$T$14:$T$213,M2,'Sales Log'!$O$14:$O$213)</f>
        <v>1216</v>
      </c>
      <c r="N11" s="8">
        <f>AVERAGEIF('Sales Log'!$T$14:$T$213,N2,'Sales Log'!$O$14:$O$213)</f>
        <v>0</v>
      </c>
      <c r="O11" s="8">
        <f>AVERAGEIF('Sales Log'!$T$14:$T$213,O2,'Sales Log'!$O$14:$O$213)</f>
        <v>0</v>
      </c>
      <c r="P11" s="8">
        <f>AVERAGEIF('Sales Log'!$T$14:$T$213,P2,'Sales Log'!$O$14:$O$213)</f>
        <v>0</v>
      </c>
      <c r="Q11" s="8">
        <f>AVERAGEIF('Sales Log'!$T$14:$T$213,Q2,'Sales Log'!$O$14:$O$213)</f>
        <v>0</v>
      </c>
      <c r="R11" s="8">
        <f>AVERAGEIF('Sales Log'!$T$14:$T$213,R2,'Sales Log'!$O$14:$O$213)</f>
        <v>355</v>
      </c>
      <c r="S11" s="8" t="e">
        <f>AVERAGEIF('Sales Log'!$T$14:$T$213,S2,'Sales Log'!$O$14:$O$213)</f>
        <v>#DIV/0!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132</v>
      </c>
      <c r="B12" s="8">
        <f>'Sales Log'!$P$214</f>
        <v>3340.876448598131</v>
      </c>
      <c r="C12" s="8">
        <f>AVERAGEIF('Sales Log'!$T$14:$T$213,C2,'Sales Log'!$P$14:$P$213)</f>
        <v>3416.5333333333333</v>
      </c>
      <c r="D12" s="8">
        <f>AVERAGEIF('Sales Log'!$T$14:$T$213,D2,'Sales Log'!$P$14:$P$213)</f>
        <v>4176.9285714285716</v>
      </c>
      <c r="E12" s="8">
        <f>AVERAGEIF('Sales Log'!$T$14:$T$213,E2,'Sales Log'!$P$14:$P$213)</f>
        <v>2954.2</v>
      </c>
      <c r="F12" s="8">
        <f>AVERAGEIF('Sales Log'!$T$14:$T$213,F2,'Sales Log'!$P$14:$P$213)</f>
        <v>3258.3333333333335</v>
      </c>
      <c r="G12" s="8">
        <f>AVERAGEIF('Sales Log'!$T$14:$T$213,G2,'Sales Log'!$P$14:$P$213)</f>
        <v>3603.5991304347826</v>
      </c>
      <c r="H12" s="8">
        <f>AVERAGEIF('Sales Log'!$T$14:$T$213,H2,'Sales Log'!$P$14:$P$213)</f>
        <v>2664.8571428571427</v>
      </c>
      <c r="I12" s="8">
        <f>AVERAGEIF('Sales Log'!$T$14:$T$213,I2,'Sales Log'!$P$14:$P$213)</f>
        <v>3667.2857142857142</v>
      </c>
      <c r="J12" s="8">
        <f>AVERAGEIF('Sales Log'!$T$14:$T$213,J2,'Sales Log'!$P$14:$P$213)</f>
        <v>3623</v>
      </c>
      <c r="K12" s="8">
        <f>AVERAGEIF('Sales Log'!$T$14:$T$213,K2,'Sales Log'!$P$14:$P$213)</f>
        <v>3125.8888888888887</v>
      </c>
      <c r="L12" s="8">
        <f>AVERAGEIF('Sales Log'!$T$14:$T$213,L2,'Sales Log'!$P$14:$P$213)</f>
        <v>-49.5</v>
      </c>
      <c r="M12" s="8">
        <f>AVERAGEIF('Sales Log'!$T$14:$T$213,M2,'Sales Log'!$P$14:$P$213)</f>
        <v>2576.5</v>
      </c>
      <c r="N12" s="8">
        <f>AVERAGEIF('Sales Log'!$T$14:$T$213,N2,'Sales Log'!$P$14:$P$213)</f>
        <v>2644</v>
      </c>
      <c r="O12" s="8">
        <f>AVERAGEIF('Sales Log'!$T$14:$T$213,O2,'Sales Log'!$P$14:$P$213)</f>
        <v>1</v>
      </c>
      <c r="P12" s="8">
        <f>AVERAGEIF('Sales Log'!$T$14:$T$213,P2,'Sales Log'!$P$14:$P$213)</f>
        <v>1</v>
      </c>
      <c r="Q12" s="8">
        <f>AVERAGEIF('Sales Log'!$T$14:$T$213,Q2,'Sales Log'!$P$14:$P$213)</f>
        <v>2657.5</v>
      </c>
      <c r="R12" s="8">
        <f>AVERAGEIF('Sales Log'!$T$14:$T$213,R2,'Sales Log'!$P$14:$P$213)</f>
        <v>4829</v>
      </c>
      <c r="S12" s="8" t="e">
        <f>AVERAGEIF('Sales Log'!$T$14:$T$213,S2,'Sales Log'!$P$14:$P$213)</f>
        <v>#DIV/0!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133</v>
      </c>
      <c r="B13" s="8">
        <f>'Sales Log'!$Q$214</f>
        <v>1706.7631775700936</v>
      </c>
      <c r="C13" s="8">
        <f>AVERAGEIF('Sales Log'!$T$14:$T$213,C2,'Sales Log'!$Q$14:$Q$213)</f>
        <v>1412.8666666666666</v>
      </c>
      <c r="D13" s="8">
        <f>AVERAGEIF('Sales Log'!$T$14:$T$213,D2,'Sales Log'!$Q$14:$Q$213)</f>
        <v>1943.7142857142858</v>
      </c>
      <c r="E13" s="8">
        <f>AVERAGEIF('Sales Log'!$T$14:$T$213,E2,'Sales Log'!$Q$14:$Q$213)</f>
        <v>2397.5</v>
      </c>
      <c r="F13" s="8">
        <f>AVERAGEIF('Sales Log'!$T$14:$T$213,F2,'Sales Log'!$Q$14:$Q$213)</f>
        <v>2042.2222222222222</v>
      </c>
      <c r="G13" s="8">
        <f>AVERAGEIF('Sales Log'!$T$14:$T$213,G2,'Sales Log'!$Q$14:$Q$213)</f>
        <v>1680.9417391304348</v>
      </c>
      <c r="H13" s="8">
        <f>AVERAGEIF('Sales Log'!$T$14:$T$213,H2,'Sales Log'!$Q$14:$Q$213)</f>
        <v>921.71428571428567</v>
      </c>
      <c r="I13" s="8">
        <f>AVERAGEIF('Sales Log'!$T$14:$T$213,I2,'Sales Log'!$Q$14:$Q$213)</f>
        <v>1240.8571428571429</v>
      </c>
      <c r="J13" s="8">
        <f>AVERAGEIF('Sales Log'!$T$14:$T$213,J2,'Sales Log'!$Q$14:$Q$213)</f>
        <v>1215.6666666666667</v>
      </c>
      <c r="K13" s="8">
        <f>AVERAGEIF('Sales Log'!$T$14:$T$213,K2,'Sales Log'!$Q$14:$Q$213)</f>
        <v>2046</v>
      </c>
      <c r="L13" s="8">
        <f>AVERAGEIF('Sales Log'!$T$14:$T$213,L2,'Sales Log'!$Q$14:$Q$213)</f>
        <v>1672.5</v>
      </c>
      <c r="M13" s="8">
        <f>AVERAGEIF('Sales Log'!$T$14:$T$213,M2,'Sales Log'!$Q$14:$Q$213)</f>
        <v>77</v>
      </c>
      <c r="N13" s="8">
        <f>AVERAGEIF('Sales Log'!$T$14:$T$213,N2,'Sales Log'!$Q$14:$Q$213)</f>
        <v>2430</v>
      </c>
      <c r="O13" s="8">
        <f>AVERAGEIF('Sales Log'!$T$14:$T$213,O2,'Sales Log'!$Q$14:$Q$213)</f>
        <v>874</v>
      </c>
      <c r="P13" s="8">
        <f>AVERAGEIF('Sales Log'!$T$14:$T$213,P2,'Sales Log'!$Q$14:$Q$213)</f>
        <v>874</v>
      </c>
      <c r="Q13" s="8">
        <f>AVERAGEIF('Sales Log'!$T$14:$T$213,Q2,'Sales Log'!$Q$14:$Q$213)</f>
        <v>1912</v>
      </c>
      <c r="R13" s="8">
        <f>AVERAGEIF('Sales Log'!$T$14:$T$213,R2,'Sales Log'!$Q$14:$Q$213)</f>
        <v>2688</v>
      </c>
      <c r="S13" s="8" t="e">
        <f>AVERAGEIF('Sales Log'!$T$14:$T$213,S2,'Sales Log'!$Q$14:$Q$213)</f>
        <v>#DIV/0!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134</v>
      </c>
      <c r="B14" s="8">
        <f>'Sales Log'!$R$214</f>
        <v>5047.6396261682239</v>
      </c>
      <c r="C14" s="8">
        <f>AVERAGEIF('Sales Log'!$T$14:$T$213,C2,'Sales Log'!$R$14:$R$213)</f>
        <v>4829.3999999999996</v>
      </c>
      <c r="D14" s="8">
        <f>AVERAGEIF('Sales Log'!$T$14:$T$213,D2,'Sales Log'!$R$14:$R$213)</f>
        <v>6120.6428571428569</v>
      </c>
      <c r="E14" s="8">
        <f>AVERAGEIF('Sales Log'!$T$14:$T$213,E2,'Sales Log'!$R$14:$R$213)</f>
        <v>5351.7</v>
      </c>
      <c r="F14" s="8">
        <f>AVERAGEIF('Sales Log'!$T$14:$T$213,F2,'Sales Log'!$R$14:$R$213)</f>
        <v>5300.5555555555557</v>
      </c>
      <c r="G14" s="8">
        <f>AVERAGEIF('Sales Log'!$T$14:$T$213,G2,'Sales Log'!$R$14:$R$213)</f>
        <v>5284.5408695652177</v>
      </c>
      <c r="H14" s="8">
        <f>AVERAGEIF('Sales Log'!$T$14:$T$213,H2,'Sales Log'!$R$14:$R$213)</f>
        <v>3586.5714285714284</v>
      </c>
      <c r="I14" s="8">
        <f>AVERAGEIF('Sales Log'!$T$14:$T$213,I2,'Sales Log'!$R$14:$R$213)</f>
        <v>4908.1428571428569</v>
      </c>
      <c r="J14" s="8">
        <f>AVERAGEIF('Sales Log'!$T$14:$T$213,J2,'Sales Log'!$R$14:$R$213)</f>
        <v>4838.666666666667</v>
      </c>
      <c r="K14" s="8">
        <f>AVERAGEIF('Sales Log'!$T$14:$T$213,K2,'Sales Log'!$R$14:$R$213)</f>
        <v>5171.8888888888887</v>
      </c>
      <c r="L14" s="8">
        <f>AVERAGEIF('Sales Log'!$T$14:$T$213,L2,'Sales Log'!$R$14:$R$213)</f>
        <v>1623</v>
      </c>
      <c r="M14" s="8">
        <f>AVERAGEIF('Sales Log'!$T$14:$T$213,M2,'Sales Log'!$R$14:$R$213)</f>
        <v>2653.5</v>
      </c>
      <c r="N14" s="8">
        <f>AVERAGEIF('Sales Log'!$T$14:$T$213,N2,'Sales Log'!$R$14:$R$213)</f>
        <v>5074</v>
      </c>
      <c r="O14" s="8">
        <f>AVERAGEIF('Sales Log'!$T$14:$T$213,O2,'Sales Log'!$R$14:$R$213)</f>
        <v>875</v>
      </c>
      <c r="P14" s="8">
        <f>AVERAGEIF('Sales Log'!$T$14:$T$213,P2,'Sales Log'!$R$14:$R$213)</f>
        <v>875</v>
      </c>
      <c r="Q14" s="8">
        <f>AVERAGEIF('Sales Log'!$T$14:$T$213,Q2,'Sales Log'!$R$14:$R$213)</f>
        <v>4569.5</v>
      </c>
      <c r="R14" s="8">
        <f>AVERAGEIF('Sales Log'!$T$14:$T$213,R2,'Sales Log'!$R$14:$R$213)</f>
        <v>7517</v>
      </c>
      <c r="S14" s="8" t="e">
        <f>AVERAGEIF('Sales Log'!$T$14:$T$213,S2,'Sales Log'!$R$14:$R$213)</f>
        <v>#DIV/0!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135</v>
      </c>
      <c r="B15" s="10">
        <f>B14*B4</f>
        <v>540097.43999999994</v>
      </c>
      <c r="C15" s="10">
        <f>C14*C4</f>
        <v>72441</v>
      </c>
      <c r="D15" s="10">
        <f t="shared" ref="D15:L15" si="2">D14*D4</f>
        <v>85689</v>
      </c>
      <c r="E15" s="10">
        <f t="shared" si="2"/>
        <v>53517</v>
      </c>
      <c r="F15" s="10">
        <f t="shared" si="2"/>
        <v>47705</v>
      </c>
      <c r="G15" s="10">
        <f t="shared" si="2"/>
        <v>121544.44</v>
      </c>
      <c r="H15" s="10">
        <f t="shared" si="2"/>
        <v>25106</v>
      </c>
      <c r="I15" s="10">
        <f t="shared" si="2"/>
        <v>34357</v>
      </c>
      <c r="J15" s="10">
        <f t="shared" si="2"/>
        <v>14516</v>
      </c>
      <c r="K15" s="10">
        <f t="shared" si="2"/>
        <v>46547</v>
      </c>
      <c r="L15" s="10">
        <f t="shared" si="2"/>
        <v>3246</v>
      </c>
      <c r="M15" s="10">
        <f t="shared" ref="M15" si="3">M14*M4</f>
        <v>5307</v>
      </c>
      <c r="N15" s="10">
        <f t="shared" ref="N15" si="4">N14*N4</f>
        <v>5074</v>
      </c>
      <c r="O15" s="10">
        <f t="shared" ref="O15" si="5">O14*O4</f>
        <v>875</v>
      </c>
      <c r="P15" s="10">
        <f t="shared" ref="P15" si="6">P14*P4</f>
        <v>875</v>
      </c>
      <c r="Q15" s="10">
        <f t="shared" ref="Q15:R15" si="7">Q14*Q4</f>
        <v>9139</v>
      </c>
      <c r="R15" s="10">
        <f t="shared" si="7"/>
        <v>15034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89</v>
      </c>
      <c r="B16" s="9">
        <f>(B14/(B7)*(360/B5))</f>
        <v>0.80954942957906251</v>
      </c>
      <c r="C16" s="9">
        <f t="shared" ref="C16:BK16" ca="1" si="10">(C14/(C7)*(360/C5))</f>
        <v>0.88150033298500696</v>
      </c>
      <c r="D16" s="9">
        <f t="shared" ca="1" si="10"/>
        <v>1.1889394712595316</v>
      </c>
      <c r="E16" s="9">
        <f t="shared" ca="1" si="10"/>
        <v>0.72901073726686672</v>
      </c>
      <c r="F16" s="9">
        <f t="shared" ca="1" si="10"/>
        <v>0.73187726104082562</v>
      </c>
      <c r="G16" s="9">
        <f t="shared" ca="1" si="10"/>
        <v>0.99198661452198644</v>
      </c>
      <c r="H16" s="9">
        <f t="shared" ca="1" si="10"/>
        <v>0.48010396397248772</v>
      </c>
      <c r="I16" s="9">
        <f t="shared" ca="1" si="10"/>
        <v>0.75388581952117861</v>
      </c>
      <c r="J16" s="9">
        <f t="shared" ca="1" si="10"/>
        <v>1.7902127799519849</v>
      </c>
      <c r="K16" s="9">
        <f t="shared" ca="1" si="10"/>
        <v>0.8090410536610747</v>
      </c>
      <c r="L16" s="9">
        <f t="shared" ca="1" si="10"/>
        <v>6.3984104503428355E-2</v>
      </c>
      <c r="M16" s="9">
        <f t="shared" ca="1" si="10"/>
        <v>0.81825610698334983</v>
      </c>
      <c r="N16" s="9">
        <f t="shared" ca="1" si="10"/>
        <v>0.76335284508405432</v>
      </c>
      <c r="O16" s="9">
        <f t="shared" ca="1" si="10"/>
        <v>1.6863767526272679</v>
      </c>
      <c r="P16" s="9">
        <f t="shared" ca="1" si="10"/>
        <v>1.6863767526272679</v>
      </c>
      <c r="Q16" s="9">
        <f t="shared" ca="1" si="10"/>
        <v>0.64582337946432256</v>
      </c>
      <c r="R16" s="9">
        <f t="shared" ca="1" si="10"/>
        <v>1.12061989976984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136</v>
      </c>
      <c r="B17" s="9">
        <f>'Sales Log'!AA214/'Scoreboard Total'!B3</f>
        <v>0.31775700934579437</v>
      </c>
      <c r="C17" s="9">
        <f>COUNTIFS('Sales Log'!$T$14:$T$213,C2,'Sales Log'!$AA$14:$AA$213,"Yes")/C$4</f>
        <v>0.26666666666666666</v>
      </c>
      <c r="D17" s="9">
        <f>COUNTIFS('Sales Log'!$T$14:$T$213,D2,'Sales Log'!$AA$14:$AA$213,"Yes")/D$4</f>
        <v>0.2857142857142857</v>
      </c>
      <c r="E17" s="9">
        <f>COUNTIFS('Sales Log'!$T$14:$T$213,E2,'Sales Log'!$AA$14:$AA$213,"Yes")/E$4</f>
        <v>0.3</v>
      </c>
      <c r="F17" s="9">
        <f>COUNTIFS('Sales Log'!$T$14:$T$213,F2,'Sales Log'!$AA$14:$AA$213,"Yes")/F$4</f>
        <v>0.33333333333333331</v>
      </c>
      <c r="G17" s="9">
        <f>COUNTIFS('Sales Log'!$T$14:$T$213,G2,'Sales Log'!$AA$14:$AA$213,"Yes")/G$4</f>
        <v>0.34782608695652173</v>
      </c>
      <c r="H17" s="9">
        <f>COUNTIFS('Sales Log'!$T$14:$T$213,H2,'Sales Log'!$AA$14:$AA$213,"Yes")/H$4</f>
        <v>0.2857142857142857</v>
      </c>
      <c r="I17" s="9">
        <f>COUNTIFS('Sales Log'!$T$14:$T$213,I2,'Sales Log'!$AA$14:$AA$213,"Yes")/I$4</f>
        <v>0.2857142857142857</v>
      </c>
      <c r="J17" s="9">
        <f>COUNTIFS('Sales Log'!$T$14:$T$213,J2,'Sales Log'!$AA$14:$AA$213,"Yes")/J$4</f>
        <v>0.66666666666666663</v>
      </c>
      <c r="K17" s="9">
        <f>COUNTIFS('Sales Log'!$T$14:$T$213,K2,'Sales Log'!$AA$14:$AA$213,"Yes")/K$4</f>
        <v>0.33333333333333331</v>
      </c>
      <c r="L17" s="9">
        <f>COUNTIFS('Sales Log'!$T$14:$T$213,L2,'Sales Log'!$AA$14:$AA$213,"Yes")/L$4</f>
        <v>1</v>
      </c>
      <c r="M17" s="9">
        <f>COUNTIFS('Sales Log'!$T$14:$T$213,M2,'Sales Log'!$AA$14:$AA$213,"Yes")/M$4</f>
        <v>0</v>
      </c>
      <c r="N17" s="9">
        <f>COUNTIFS('Sales Log'!$T$14:$T$213,N2,'Sales Log'!$AA$14:$AA$213,"Yes")/N$4</f>
        <v>0</v>
      </c>
      <c r="O17" s="9">
        <f>COUNTIFS('Sales Log'!$T$14:$T$213,O2,'Sales Log'!$AA$14:$AA$213,"Yes")/O$4</f>
        <v>0</v>
      </c>
      <c r="P17" s="9">
        <f>COUNTIFS('Sales Log'!$T$14:$T$213,P2,'Sales Log'!$AA$14:$AA$213,"Yes")/P$4</f>
        <v>0</v>
      </c>
      <c r="Q17" s="9">
        <f>COUNTIFS('Sales Log'!$T$14:$T$213,Q2,'Sales Log'!$AA$14:$AA$213,"Yes")/Q$4</f>
        <v>0</v>
      </c>
      <c r="R17" s="9">
        <f>COUNTIFS('Sales Log'!$T$14:$T$213,R2,'Sales Log'!$AA$14:$AA$213,"Yes")/R$4</f>
        <v>0.5</v>
      </c>
      <c r="S17" s="9" t="e">
        <f>COUNTIFS('Sales Log'!$T$14:$T$213,S2,'Sales Log'!$AA$14:$AA$213,"Yes")/S$4</f>
        <v>#DIV/0!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137</v>
      </c>
      <c r="B18" s="114">
        <f>'Sales Log'!$AB$214</f>
        <v>-32.074672897196258</v>
      </c>
      <c r="C18" s="114">
        <f>AVERAGEIF('Sales Log'!$T$14:$T$213,C2,'Sales Log'!$AB$14:$AB$213)</f>
        <v>37.867333333333335</v>
      </c>
      <c r="D18" s="114">
        <f>AVERAGEIF('Sales Log'!$T$14:$T$213,D2,'Sales Log'!$AB$14:$AB$213)</f>
        <v>71.428571428571431</v>
      </c>
      <c r="E18" s="114">
        <f>AVERAGEIF('Sales Log'!$T$14:$T$213,E2,'Sales Log'!$AB$14:$AB$213)</f>
        <v>0</v>
      </c>
      <c r="F18" s="114">
        <f>AVERAGEIF('Sales Log'!$T$14:$T$213,F2,'Sales Log'!$AB$14:$AB$213)</f>
        <v>-305.55555555555554</v>
      </c>
      <c r="G18" s="114">
        <f>AVERAGEIF('Sales Log'!$T$14:$T$213,G2,'Sales Log'!$AB$14:$AB$213)</f>
        <v>21.739130434782609</v>
      </c>
      <c r="H18" s="114">
        <f>AVERAGEIF('Sales Log'!$T$14:$T$213,H2,'Sales Log'!$AB$14:$AB$213)</f>
        <v>-142.85714285714286</v>
      </c>
      <c r="I18" s="114">
        <f>AVERAGEIF('Sales Log'!$T$14:$T$213,I2,'Sales Log'!$AB$14:$AB$213)</f>
        <v>-142.85714285714286</v>
      </c>
      <c r="J18" s="114">
        <f>AVERAGEIF('Sales Log'!$T$14:$T$213,J2,'Sales Log'!$AB$14:$AB$213)</f>
        <v>333.33333333333331</v>
      </c>
      <c r="K18" s="114">
        <f>AVERAGEIF('Sales Log'!$T$14:$T$213,K2,'Sales Log'!$AB$14:$AB$213)</f>
        <v>27.777777777777779</v>
      </c>
      <c r="L18" s="114">
        <f>AVERAGEIF('Sales Log'!$T$14:$T$213,L2,'Sales Log'!$AB$14:$AB$213)</f>
        <v>-500</v>
      </c>
      <c r="M18" s="114">
        <f>AVERAGEIF('Sales Log'!$T$14:$T$213,M2,'Sales Log'!$AB$14:$AB$213)</f>
        <v>0</v>
      </c>
      <c r="N18" s="114">
        <f>AVERAGEIF('Sales Log'!$T$14:$T$213,N2,'Sales Log'!$AB$14:$AB$213)</f>
        <v>0</v>
      </c>
      <c r="O18" s="114">
        <f>AVERAGEIF('Sales Log'!$T$14:$T$213,O2,'Sales Log'!$AB$14:$AB$213)</f>
        <v>0</v>
      </c>
      <c r="P18" s="114">
        <f>AVERAGEIF('Sales Log'!$T$14:$T$213,P2,'Sales Log'!$AB$14:$AB$213)</f>
        <v>0</v>
      </c>
      <c r="Q18" s="114">
        <f>AVERAGEIF('Sales Log'!$T$14:$T$213,Q2,'Sales Log'!$AB$14:$AB$213)</f>
        <v>-500</v>
      </c>
      <c r="R18" s="114">
        <f>AVERAGEIF('Sales Log'!$T$14:$T$213,R2,'Sales Log'!$AB$14:$AB$213)</f>
        <v>0</v>
      </c>
      <c r="S18" s="114" t="e">
        <f>AVERAGEIF('Sales Log'!$T$14:$T$213,S2,'Sales Log'!$AB$14:$AB$213)</f>
        <v>#DIV/0!</v>
      </c>
      <c r="T18" s="114" t="e">
        <f>AVERAGEIF('Sales Log'!$T$14:$T$213,T2,'Sales Log'!$AB$14:$AB$213)</f>
        <v>#DIV/0!</v>
      </c>
      <c r="U18" s="114" t="e">
        <f>AVERAGEIF('Sales Log'!$T$14:$T$213,U2,'Sales Log'!$AB$14:$AB$213)</f>
        <v>#DIV/0!</v>
      </c>
      <c r="V18" s="114" t="e">
        <f>AVERAGEIF('Sales Log'!$T$14:$T$213,V2,'Sales Log'!$AB$14:$AB$213)</f>
        <v>#DIV/0!</v>
      </c>
      <c r="W18" s="114" t="e">
        <f>AVERAGEIF('Sales Log'!$T$14:$T$213,W2,'Sales Log'!$AB$14:$AB$213)</f>
        <v>#DIV/0!</v>
      </c>
      <c r="X18" s="114" t="e">
        <f>AVERAGEIF('Sales Log'!$T$14:$T$213,X2,'Sales Log'!$AB$14:$AB$213)</f>
        <v>#DIV/0!</v>
      </c>
      <c r="Y18" s="114" t="e">
        <f>AVERAGEIF('Sales Log'!$T$14:$T$213,Y2,'Sales Log'!$AB$14:$AB$213)</f>
        <v>#DIV/0!</v>
      </c>
      <c r="Z18" s="114" t="e">
        <f>AVERAGEIF('Sales Log'!$T$14:$T$213,Z2,'Sales Log'!$AB$14:$AB$213)</f>
        <v>#DIV/0!</v>
      </c>
      <c r="AA18" s="114" t="e">
        <f>AVERAGEIF('Sales Log'!$T$14:$T$213,AA2,'Sales Log'!$AB$14:$AB$213)</f>
        <v>#DIV/0!</v>
      </c>
      <c r="AB18" s="114" t="e">
        <f>AVERAGEIF('Sales Log'!$T$14:$T$213,AB2,'Sales Log'!$AB$14:$AB$213)</f>
        <v>#DIV/0!</v>
      </c>
      <c r="AC18" s="114" t="e">
        <f>AVERAGEIF('Sales Log'!$T$14:$T$213,AC2,'Sales Log'!$AB$14:$AB$213)</f>
        <v>#DIV/0!</v>
      </c>
      <c r="AD18" s="114" t="e">
        <f>AVERAGEIF('Sales Log'!$T$14:$T$213,AD2,'Sales Log'!$AB$14:$AB$213)</f>
        <v>#DIV/0!</v>
      </c>
      <c r="AE18" s="114" t="e">
        <f>AVERAGEIF('Sales Log'!$T$14:$T$213,AE2,'Sales Log'!$AB$14:$AB$213)</f>
        <v>#DIV/0!</v>
      </c>
      <c r="AF18" s="114" t="e">
        <f>AVERAGEIF('Sales Log'!$T$14:$T$213,AF2,'Sales Log'!$AB$14:$AB$213)</f>
        <v>#DIV/0!</v>
      </c>
      <c r="AG18" s="114" t="e">
        <f>AVERAGEIF('Sales Log'!$T$14:$T$213,AG2,'Sales Log'!$AB$14:$AB$213)</f>
        <v>#DIV/0!</v>
      </c>
      <c r="AH18" s="114" t="e">
        <f>AVERAGEIF('Sales Log'!$T$14:$T$213,AH2,'Sales Log'!$AB$14:$AB$213)</f>
        <v>#DIV/0!</v>
      </c>
      <c r="AI18" s="114" t="e">
        <f>AVERAGEIF('Sales Log'!$T$14:$T$213,AI2,'Sales Log'!$AB$14:$AB$213)</f>
        <v>#DIV/0!</v>
      </c>
      <c r="AJ18" s="114" t="e">
        <f>AVERAGEIF('Sales Log'!$T$14:$T$213,AJ2,'Sales Log'!$AB$14:$AB$213)</f>
        <v>#DIV/0!</v>
      </c>
      <c r="AK18" s="114" t="e">
        <f>AVERAGEIF('Sales Log'!$T$14:$T$213,AK2,'Sales Log'!$AB$14:$AB$213)</f>
        <v>#DIV/0!</v>
      </c>
      <c r="AL18" s="114" t="e">
        <f>AVERAGEIF('Sales Log'!$T$14:$T$213,AL2,'Sales Log'!$AB$14:$AB$213)</f>
        <v>#DIV/0!</v>
      </c>
      <c r="AM18" s="114" t="e">
        <f>AVERAGEIF('Sales Log'!$T$14:$T$213,AM2,'Sales Log'!$AB$14:$AB$213)</f>
        <v>#DIV/0!</v>
      </c>
      <c r="AN18" s="114" t="e">
        <f>AVERAGEIF('Sales Log'!$T$14:$T$213,AN2,'Sales Log'!$AB$14:$AB$213)</f>
        <v>#DIV/0!</v>
      </c>
      <c r="AO18" s="114" t="e">
        <f>AVERAGEIF('Sales Log'!$T$14:$T$213,AO2,'Sales Log'!$AB$14:$AB$213)</f>
        <v>#DIV/0!</v>
      </c>
      <c r="AP18" s="114" t="e">
        <f>AVERAGEIF('Sales Log'!$T$14:$T$213,AP2,'Sales Log'!$AB$14:$AB$213)</f>
        <v>#DIV/0!</v>
      </c>
      <c r="AQ18" s="114" t="e">
        <f>AVERAGEIF('Sales Log'!$T$14:$T$213,AQ2,'Sales Log'!$AB$14:$AB$213)</f>
        <v>#DIV/0!</v>
      </c>
      <c r="AR18" s="114" t="e">
        <f>AVERAGEIF('Sales Log'!$T$14:$T$213,AR2,'Sales Log'!$AB$14:$AB$213)</f>
        <v>#DIV/0!</v>
      </c>
      <c r="AS18" s="114" t="e">
        <f>AVERAGEIF('Sales Log'!$T$14:$T$213,AS2,'Sales Log'!$AB$14:$AB$213)</f>
        <v>#DIV/0!</v>
      </c>
      <c r="AT18" s="114" t="e">
        <f>AVERAGEIF('Sales Log'!$T$14:$T$213,AT2,'Sales Log'!$AB$14:$AB$213)</f>
        <v>#DIV/0!</v>
      </c>
      <c r="AU18" s="114" t="e">
        <f>AVERAGEIF('Sales Log'!$T$14:$T$213,AU2,'Sales Log'!$AB$14:$AB$213)</f>
        <v>#DIV/0!</v>
      </c>
      <c r="AV18" s="114" t="e">
        <f>AVERAGEIF('Sales Log'!$T$14:$T$213,AV2,'Sales Log'!$AB$14:$AB$213)</f>
        <v>#DIV/0!</v>
      </c>
      <c r="AW18" s="114" t="e">
        <f>AVERAGEIF('Sales Log'!$T$14:$T$213,AW2,'Sales Log'!$AB$14:$AB$213)</f>
        <v>#DIV/0!</v>
      </c>
      <c r="AX18" s="114" t="e">
        <f>AVERAGEIF('Sales Log'!$T$14:$T$213,AX2,'Sales Log'!$AB$14:$AB$213)</f>
        <v>#DIV/0!</v>
      </c>
      <c r="AY18" s="114" t="e">
        <f>AVERAGEIF('Sales Log'!$T$14:$T$213,AY2,'Sales Log'!$AB$14:$AB$213)</f>
        <v>#DIV/0!</v>
      </c>
      <c r="AZ18" s="114" t="e">
        <f>AVERAGEIF('Sales Log'!$T$14:$T$213,AZ2,'Sales Log'!$AB$14:$AB$213)</f>
        <v>#DIV/0!</v>
      </c>
      <c r="BA18" s="114" t="e">
        <f>AVERAGEIF('Sales Log'!$T$14:$T$213,BA2,'Sales Log'!$AB$14:$AB$213)</f>
        <v>#DIV/0!</v>
      </c>
      <c r="BB18" s="114" t="e">
        <f>AVERAGEIF('Sales Log'!$T$14:$T$213,BB2,'Sales Log'!$AB$14:$AB$213)</f>
        <v>#DIV/0!</v>
      </c>
      <c r="BC18" s="114" t="e">
        <f>AVERAGEIF('Sales Log'!$T$14:$T$213,BC2,'Sales Log'!$AB$14:$AB$213)</f>
        <v>#DIV/0!</v>
      </c>
      <c r="BD18" s="114" t="e">
        <f>AVERAGEIF('Sales Log'!$T$14:$T$213,BD2,'Sales Log'!$AB$14:$AB$213)</f>
        <v>#DIV/0!</v>
      </c>
      <c r="BE18" s="114" t="e">
        <f>AVERAGEIF('Sales Log'!$T$14:$T$213,BE2,'Sales Log'!$AB$14:$AB$213)</f>
        <v>#DIV/0!</v>
      </c>
      <c r="BF18" s="114" t="e">
        <f>AVERAGEIF('Sales Log'!$T$14:$T$213,BF2,'Sales Log'!$AB$14:$AB$213)</f>
        <v>#DIV/0!</v>
      </c>
      <c r="BG18" s="114" t="e">
        <f>AVERAGEIF('Sales Log'!$T$14:$T$213,BG2,'Sales Log'!$AB$14:$AB$213)</f>
        <v>#DIV/0!</v>
      </c>
      <c r="BH18" s="114" t="e">
        <f>AVERAGEIF('Sales Log'!$T$14:$T$213,BH2,'Sales Log'!$AB$14:$AB$213)</f>
        <v>#DIV/0!</v>
      </c>
      <c r="BI18" s="114" t="e">
        <f>AVERAGEIF('Sales Log'!$T$14:$T$213,BI2,'Sales Log'!$AB$14:$AB$213)</f>
        <v>#DIV/0!</v>
      </c>
      <c r="BJ18" s="114" t="e">
        <f>AVERAGEIF('Sales Log'!$T$14:$T$213,BJ2,'Sales Log'!$AB$14:$AB$213)</f>
        <v>#DIV/0!</v>
      </c>
      <c r="BK18" s="114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E1" sqref="E1:E1048576"/>
    </sheetView>
  </sheetViews>
  <sheetFormatPr defaultRowHeight="15"/>
  <cols>
    <col min="1" max="1" width="37.7109375" bestFit="1" customWidth="1"/>
    <col min="2" max="2" width="13.42578125" customWidth="1"/>
    <col min="3" max="12" width="19.7109375" customWidth="1"/>
  </cols>
  <sheetData>
    <row r="1" spans="1:12" ht="22.5" customHeight="1">
      <c r="A1" s="20" t="s">
        <v>138</v>
      </c>
      <c r="B1" s="21"/>
      <c r="C1" s="43" t="s">
        <v>139</v>
      </c>
    </row>
    <row r="2" spans="1:12" ht="22.5" customHeight="1">
      <c r="A2" s="22" t="s">
        <v>92</v>
      </c>
      <c r="B2" s="22" t="s">
        <v>140</v>
      </c>
      <c r="C2" s="29" t="s">
        <v>153</v>
      </c>
      <c r="D2" s="29" t="s">
        <v>159</v>
      </c>
      <c r="E2" s="29" t="s">
        <v>328</v>
      </c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141</v>
      </c>
      <c r="B3" s="14">
        <f>COUNTIFS('Sales Log'!$I$14:$I$213,"No")/B4</f>
        <v>0.48598130841121495</v>
      </c>
      <c r="C3" s="14">
        <f>COUNTIFS('Sales Log'!$I$14:$I$213,"No",'Sales Log'!$V$14:$V$213,C2)/C4</f>
        <v>0.42222222222222222</v>
      </c>
      <c r="D3" s="14">
        <f>COUNTIFS('Sales Log'!$I$14:$I$213,"No",'Sales Log'!$V$14:$V$213,D2)/D4</f>
        <v>0.53333333333333333</v>
      </c>
      <c r="E3" s="14">
        <f>COUNTIFS('Sales Log'!$I$14:$I$213,"No",'Sales Log'!$V$14:$V$213,E2)/E4</f>
        <v>0.52941176470588236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124</v>
      </c>
      <c r="B4" s="6">
        <f>'Scoreboard Total'!B3</f>
        <v>107</v>
      </c>
      <c r="C4" s="39">
        <f>COUNTIF('Sales Log'!$V$14:$V$213,C2)</f>
        <v>45</v>
      </c>
      <c r="D4" s="39">
        <f>COUNTIF('Sales Log'!$V$14:$V$213,D2)</f>
        <v>45</v>
      </c>
      <c r="E4" s="39">
        <f>COUNTIF('Sales Log'!$V$14:$V$213,E2)</f>
        <v>17</v>
      </c>
      <c r="F4" s="39">
        <f>COUNTIF('Sales Log'!$V$14:$V$213,F2)</f>
        <v>0</v>
      </c>
      <c r="G4" s="39">
        <f>COUNTIF('Sales Log'!$V$14:$V$213,G2)</f>
        <v>0</v>
      </c>
      <c r="H4" s="39">
        <f>COUNTIF('Sales Log'!$V$14:$V$213,H2)</f>
        <v>0</v>
      </c>
      <c r="I4" s="39">
        <f>COUNTIF('Sales Log'!$V$14:$V$213,I2)</f>
        <v>0</v>
      </c>
      <c r="J4" s="39">
        <f>COUNTIF('Sales Log'!$V$14:$V$213,J2)</f>
        <v>0</v>
      </c>
      <c r="K4" s="39">
        <f>COUNTIF('Sales Log'!$V$14:$V$213,K2)</f>
        <v>0</v>
      </c>
      <c r="L4" s="39">
        <f>COUNTIF('Sales Log'!$V$14:$V$213,L2)</f>
        <v>0</v>
      </c>
    </row>
    <row r="5" spans="1:12" ht="21.75" customHeight="1">
      <c r="A5" s="5" t="s">
        <v>125</v>
      </c>
      <c r="B5" s="7">
        <f>'Sales Log'!$F$214</f>
        <v>58.10280373831776</v>
      </c>
      <c r="C5" s="24">
        <f ca="1">AVERAGEIF('Sales Log'!$V$14:$V$213,C2,'Sales Log'!$F$14:$F$209)</f>
        <v>58.266666666666666</v>
      </c>
      <c r="D5" s="24">
        <f ca="1">AVERAGEIF('Sales Log'!$V$14:$V$213,D2,'Sales Log'!$F$14:$F$209)</f>
        <v>58.355555555555554</v>
      </c>
      <c r="E5" s="24">
        <f ca="1">AVERAGEIF('Sales Log'!$V$14:$V$213,E2,'Sales Log'!$F$14:$F$209)</f>
        <v>57</v>
      </c>
      <c r="F5" s="24" t="e">
        <f ca="1">AVERAGEIF('Sales Log'!$V$14:$V$213,F2,'Sales Log'!$F$14:$F$209)</f>
        <v>#DIV/0!</v>
      </c>
      <c r="G5" s="24" t="e">
        <f ca="1">AVERAGEIF('Sales Log'!$V$14:$V$213,G2,'Sales Log'!$F$14:$F$209)</f>
        <v>#DIV/0!</v>
      </c>
      <c r="H5" s="24" t="e">
        <f ca="1">AVERAGEIF('Sales Log'!$V$14:$V$213,H2,'Sales Log'!$F$14:$F$209)</f>
        <v>#DIV/0!</v>
      </c>
      <c r="I5" s="24" t="e">
        <f ca="1">AVERAGEIF('Sales Log'!$V$14:$V$213,I2,'Sales Log'!$F$14:$F$209)</f>
        <v>#DIV/0!</v>
      </c>
      <c r="J5" s="24" t="e">
        <f ca="1">AVERAGEIF('Sales Log'!$V$14:$V$213,J2,'Sales Log'!$F$14:$F$209)</f>
        <v>#DIV/0!</v>
      </c>
      <c r="K5" s="24" t="e">
        <f ca="1">AVERAGEIF('Sales Log'!$V$14:$V$213,K2,'Sales Log'!$F$14:$F$209)</f>
        <v>#DIV/0!</v>
      </c>
      <c r="L5" s="24" t="e">
        <f ca="1">AVERAGEIF('Sales Log'!$V$14:$V$213,L2,'Sales Log'!$F$14:$F$209)</f>
        <v>#DIV/0!</v>
      </c>
    </row>
    <row r="6" spans="1:12" ht="22.5" customHeight="1">
      <c r="A6" s="5" t="s">
        <v>126</v>
      </c>
      <c r="B6" s="8">
        <f>'Sales Log'!$J$214</f>
        <v>39094.093457943927</v>
      </c>
      <c r="C6" s="8">
        <f>AVERAGEIF('Sales Log'!$V$14:$V$213,C2,'Sales Log'!$J$14:$J$213)</f>
        <v>41136.755555555559</v>
      </c>
      <c r="D6" s="8">
        <f>AVERAGEIF('Sales Log'!$V$14:$V$213,D2,'Sales Log'!$J$14:$J$213)</f>
        <v>35918.888888888891</v>
      </c>
      <c r="E6" s="8">
        <f>AVERAGEIF('Sales Log'!$V$14:$V$213,E2,'Sales Log'!$J$14:$J$213)</f>
        <v>42092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127</v>
      </c>
      <c r="B7" s="8">
        <f>'Sales Log'!$K$214</f>
        <v>38632.283644859817</v>
      </c>
      <c r="C7" s="8">
        <f>AVERAGEIF('Sales Log'!$V$14:$V$213,C2,'Sales Log'!$K$14:$K$213)</f>
        <v>40718.26666666667</v>
      </c>
      <c r="D7" s="8">
        <f>AVERAGEIF('Sales Log'!$V$14:$V$213,D2,'Sales Log'!$K$14:$K$213)</f>
        <v>35607.385555555556</v>
      </c>
      <c r="E7" s="8">
        <f>AVERAGEIF('Sales Log'!$V$14:$V$213,E2,'Sales Log'!$K$14:$K$213)</f>
        <v>41117.647058823532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128</v>
      </c>
      <c r="B8" s="8">
        <f>'Sales Log'!$M$214</f>
        <v>39559.939474181949</v>
      </c>
      <c r="C8" s="8">
        <f>AVERAGEIF('Sales Log'!$V$14:$V$213,C2,'Sales Log'!$M$14:$M$213)</f>
        <v>41512.803770007726</v>
      </c>
      <c r="D8" s="8">
        <f>AVERAGEIF('Sales Log'!$V$14:$V$213,D2,'Sales Log'!$M$14:$M$213)</f>
        <v>36488.366225080455</v>
      </c>
      <c r="E8" s="8">
        <f>AVERAGEIF('Sales Log'!$V$14:$V$213,E2,'Sales Log'!$M$14:$M$213)</f>
        <v>42312.139800702353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129</v>
      </c>
      <c r="B9" s="9">
        <f>'Sales Log'!L214</f>
        <v>0.98822429906542075</v>
      </c>
      <c r="C9" s="14">
        <f>C6/C8</f>
        <v>0.9909413920453175</v>
      </c>
      <c r="D9" s="14">
        <f t="shared" ref="D9:L9" si="0">D6/D8</f>
        <v>0.98439290669582979</v>
      </c>
      <c r="E9" s="14">
        <f t="shared" si="0"/>
        <v>0.99479724254695578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130</v>
      </c>
      <c r="B10" s="9">
        <f>'Sales Log'!$N$214</f>
        <v>0.97655062566696926</v>
      </c>
      <c r="C10" s="14">
        <f>C7/C8</f>
        <v>0.98086043265728307</v>
      </c>
      <c r="D10" s="14">
        <f t="shared" ref="D10:L10" si="1">D7/D8</f>
        <v>0.97585584774910117</v>
      </c>
      <c r="E10" s="14">
        <f t="shared" si="1"/>
        <v>0.97176950285414321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131</v>
      </c>
      <c r="B11" s="8">
        <f>'Sales Log'!$O$214</f>
        <v>461.80981308411208</v>
      </c>
      <c r="C11" s="8">
        <f>AVERAGEIF('Sales Log'!$V$14:$V$213,C2,'Sales Log'!$O$14:$O$213)</f>
        <v>418.48888888888888</v>
      </c>
      <c r="D11" s="8">
        <f>AVERAGEIF('Sales Log'!$V$14:$V$213,D2,'Sales Log'!$O$14:$O$213)</f>
        <v>311.50333333333322</v>
      </c>
      <c r="E11" s="8">
        <f>AVERAGEIF('Sales Log'!$V$14:$V$213,E2,'Sales Log'!$O$14:$O$213)</f>
        <v>974.35294117647061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132</v>
      </c>
      <c r="B12" s="8">
        <f>'Sales Log'!$P$214</f>
        <v>3340.876448598131</v>
      </c>
      <c r="C12" s="8">
        <f>AVERAGEIF('Sales Log'!$V$14:$V$213,C2,'Sales Log'!$P$14:$P$213)</f>
        <v>3029.3777777777777</v>
      </c>
      <c r="D12" s="8">
        <f>AVERAGEIF('Sales Log'!$V$14:$V$213,D2,'Sales Log'!$P$14:$P$213)</f>
        <v>3650.8173333333334</v>
      </c>
      <c r="E12" s="8">
        <f>AVERAGEIF('Sales Log'!$V$14:$V$213,E2,'Sales Log'!$P$14:$P$213)</f>
        <v>3345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133</v>
      </c>
      <c r="B13" s="8">
        <f>'Sales Log'!$Q$214</f>
        <v>1706.7631775700936</v>
      </c>
      <c r="C13" s="8">
        <f>AVERAGEIF('Sales Log'!$V$14:$V$213,C2,'Sales Log'!$Q$14:$Q$213)</f>
        <v>1675.3111111111111</v>
      </c>
      <c r="D13" s="8">
        <f>AVERAGEIF('Sales Log'!$V$14:$V$213,D2,'Sales Log'!$Q$14:$Q$213)</f>
        <v>1642.3035555555557</v>
      </c>
      <c r="E13" s="8">
        <f>AVERAGEIF('Sales Log'!$V$14:$V$213,E2,'Sales Log'!$Q$14:$Q$213)</f>
        <v>1960.6470588235295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134</v>
      </c>
      <c r="B14" s="8">
        <f>'Sales Log'!$R$214</f>
        <v>5047.6396261682239</v>
      </c>
      <c r="C14" s="8">
        <f>AVERAGEIF('Sales Log'!$V$14:$V$213,C2,'Sales Log'!$R$14:$R$213)</f>
        <v>4704.6888888888889</v>
      </c>
      <c r="D14" s="8">
        <f>AVERAGEIF('Sales Log'!$V$14:$V$213,D2,'Sales Log'!$R$14:$R$213)</f>
        <v>5293.1208888888887</v>
      </c>
      <c r="E14" s="8">
        <f>AVERAGEIF('Sales Log'!$V$14:$V$213,E2,'Sales Log'!$R$14:$R$213)</f>
        <v>5305.6470588235297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135</v>
      </c>
      <c r="B15" s="10">
        <f t="shared" ref="B15:L15" si="2">B14*B4</f>
        <v>540097.43999999994</v>
      </c>
      <c r="C15" s="10">
        <f t="shared" si="2"/>
        <v>211711</v>
      </c>
      <c r="D15" s="10">
        <f t="shared" si="2"/>
        <v>238190.44</v>
      </c>
      <c r="E15" s="10">
        <f t="shared" si="2"/>
        <v>90196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89</v>
      </c>
      <c r="B16" s="9">
        <f>(B14/(B7)*(360/B5))</f>
        <v>0.80954942957906251</v>
      </c>
      <c r="C16" s="9">
        <f t="shared" ref="C16:L16" ca="1" si="3">(C14/(C7)*(360/C5))</f>
        <v>0.71387792833880226</v>
      </c>
      <c r="D16" s="9">
        <f t="shared" ca="1" si="3"/>
        <v>0.91704789553814026</v>
      </c>
      <c r="E16" s="9">
        <f t="shared" ca="1" si="3"/>
        <v>0.81496272871018749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136</v>
      </c>
      <c r="B17" s="9">
        <f>'Sales Log'!AA214/'Scoreboard Total'!B3</f>
        <v>0.31775700934579437</v>
      </c>
      <c r="C17" s="9">
        <f>COUNTIFS('Sales Log'!$V$14:$V$213,'Scoreboard DM'!C$2,'Sales Log'!$AA$14:$AA$213,"Yes")/C$4</f>
        <v>0</v>
      </c>
      <c r="D17" s="9">
        <f>COUNTIFS('Sales Log'!$V$14:$V$213,'Scoreboard DM'!D$2,'Sales Log'!$AA$14:$AA$213,"Yes")/D$4</f>
        <v>0</v>
      </c>
      <c r="E17" s="9">
        <f>COUNTIFS('Sales Log'!$V$14:$V$213,'Scoreboard DM'!E$2,'Sales Log'!$AA$14:$AA$213,"Yes")/E$4</f>
        <v>0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137</v>
      </c>
      <c r="B18" s="114">
        <f>'Sales Log'!$AB$214</f>
        <v>-32.074672897196258</v>
      </c>
      <c r="C18" s="114">
        <f>AVERAGEIF('Sales Log'!$V$14:$V$213,C2,'Sales Log'!$AB$14:$AB$213)</f>
        <v>-15.155333333333333</v>
      </c>
      <c r="D18" s="114">
        <f>AVERAGEIF('Sales Log'!$V$14:$V$213,D2,'Sales Log'!$AB$14:$AB$213)</f>
        <v>-72.222222222222229</v>
      </c>
      <c r="E18" s="114">
        <f>AVERAGEIF('Sales Log'!$V$14:$V$213,E2,'Sales Log'!$AB$14:$AB$213)</f>
        <v>29.411764705882351</v>
      </c>
      <c r="F18" s="114" t="e">
        <f>AVERAGEIF('Sales Log'!$V$14:$V$213,F2,'Sales Log'!$AB$14:$AB$213)</f>
        <v>#DIV/0!</v>
      </c>
      <c r="G18" s="114" t="e">
        <f>AVERAGEIF('Sales Log'!$V$14:$V$213,G2,'Sales Log'!$AB$14:$AB$213)</f>
        <v>#DIV/0!</v>
      </c>
      <c r="H18" s="114" t="e">
        <f>AVERAGEIF('Sales Log'!$V$14:$V$213,H2,'Sales Log'!$AB$14:$AB$213)</f>
        <v>#DIV/0!</v>
      </c>
      <c r="I18" s="114" t="e">
        <f>AVERAGEIF('Sales Log'!$V$14:$V$213,I2,'Sales Log'!$AB$14:$AB$213)</f>
        <v>#DIV/0!</v>
      </c>
      <c r="J18" s="114" t="e">
        <f>AVERAGEIF('Sales Log'!$V$14:$V$213,J2,'Sales Log'!$AB$14:$AB$213)</f>
        <v>#DIV/0!</v>
      </c>
      <c r="K18" s="114" t="e">
        <f>AVERAGEIF('Sales Log'!$V$14:$V$213,K2,'Sales Log'!$AB$14:$AB$213)</f>
        <v>#DIV/0!</v>
      </c>
      <c r="L18" s="114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defaultRowHeight="15"/>
  <cols>
    <col min="1" max="1" width="37.7109375" bestFit="1" customWidth="1"/>
    <col min="2" max="2" width="14.5703125" customWidth="1"/>
    <col min="3" max="3" width="19.7109375" customWidth="1"/>
    <col min="4" max="4" width="20.42578125" customWidth="1"/>
  </cols>
  <sheetData>
    <row r="1" spans="1:4" ht="22.5" customHeight="1">
      <c r="A1" s="25" t="s">
        <v>138</v>
      </c>
      <c r="B1" s="26"/>
      <c r="C1" s="27"/>
      <c r="D1" s="27"/>
    </row>
    <row r="2" spans="1:4" ht="22.5" customHeight="1">
      <c r="A2" s="28" t="s">
        <v>78</v>
      </c>
      <c r="B2" s="28" t="s">
        <v>140</v>
      </c>
      <c r="C2" s="23" t="s">
        <v>107</v>
      </c>
      <c r="D2" s="23" t="s">
        <v>103</v>
      </c>
    </row>
    <row r="3" spans="1:4" ht="22.5" customHeight="1">
      <c r="A3" s="5" t="s">
        <v>124</v>
      </c>
      <c r="B3" s="6">
        <f>'Sales Log'!D214</f>
        <v>107</v>
      </c>
      <c r="C3" s="6">
        <f>COUNTIF('Sales Log'!$H$14:$H$213,C2)</f>
        <v>42</v>
      </c>
      <c r="D3" s="6">
        <f>COUNTIF('Sales Log'!$H$14:$H$213,D2)</f>
        <v>65</v>
      </c>
    </row>
    <row r="4" spans="1:4" ht="22.5" customHeight="1">
      <c r="A4" s="5" t="s">
        <v>125</v>
      </c>
      <c r="B4" s="7">
        <f>'Sales Log'!$F$214</f>
        <v>58.10280373831776</v>
      </c>
      <c r="C4" s="24">
        <f ca="1">AVERAGEIF('Sales Log'!$H$14:$H$213,C2,'Sales Log'!$F$14:$F$209)</f>
        <v>52.523809523809526</v>
      </c>
      <c r="D4" s="24">
        <f ca="1">AVERAGEIF('Sales Log'!$H$14:$H$213,D2,'Sales Log'!$F$14:$F$209)</f>
        <v>61.707692307692305</v>
      </c>
    </row>
    <row r="5" spans="1:4" ht="22.5" customHeight="1">
      <c r="A5" s="5" t="s">
        <v>126</v>
      </c>
      <c r="B5" s="8">
        <f>'Sales Log'!$J$214</f>
        <v>39094.093457943927</v>
      </c>
      <c r="C5" s="8">
        <f>AVERAGEIF('Sales Log'!$H$14:$H$213,C2,'Sales Log'!J14:J213)</f>
        <v>43726.619047619046</v>
      </c>
      <c r="D5" s="8">
        <f>AVERAGEIF('Sales Log'!$H$14:$H$213,D2,'Sales Log'!K14:K213)</f>
        <v>35659.129846153846</v>
      </c>
    </row>
    <row r="6" spans="1:4" ht="22.5" customHeight="1">
      <c r="A6" s="5" t="s">
        <v>127</v>
      </c>
      <c r="B6" s="8">
        <f>'Sales Log'!$K$214</f>
        <v>38632.283644859817</v>
      </c>
      <c r="C6" s="8">
        <f>AVERAGEIF('Sales Log'!$H$14:$H$213,C2,'Sales Log'!$K$14:$K$213)</f>
        <v>43233.593095238102</v>
      </c>
      <c r="D6" s="8">
        <f>AVERAGEIF('Sales Log'!$H$14:$H$213,D2,'Sales Log'!$K$14:$K$213)</f>
        <v>35659.129846153846</v>
      </c>
    </row>
    <row r="7" spans="1:4" ht="22.5" customHeight="1">
      <c r="A7" s="5" t="s">
        <v>128</v>
      </c>
      <c r="B7" s="8">
        <f>'Sales Log'!$M$214</f>
        <v>39559.939474181949</v>
      </c>
      <c r="C7" s="8">
        <f>AVERAGEIF('Sales Log'!$H$14:$H$213,C2,'Sales Log'!$M$14:$M$213)</f>
        <v>44058.918599979101</v>
      </c>
      <c r="D7" s="8">
        <f>AVERAGEIF('Sales Log'!$H$14:$H$213,D2,'Sales Log'!$M$14:$M$213)</f>
        <v>36598.222233719789</v>
      </c>
    </row>
    <row r="8" spans="1:4" ht="22.5" customHeight="1">
      <c r="A8" s="5" t="s">
        <v>129</v>
      </c>
      <c r="B8" s="9">
        <f>'Sales Log'!L214</f>
        <v>0.98822429906542075</v>
      </c>
      <c r="C8" s="14">
        <f>C5/C7</f>
        <v>0.99245783684849198</v>
      </c>
      <c r="D8" s="14">
        <f>D5/D7</f>
        <v>0.97434049168921899</v>
      </c>
    </row>
    <row r="9" spans="1:4" ht="22.5" customHeight="1">
      <c r="A9" s="5" t="s">
        <v>130</v>
      </c>
      <c r="B9" s="9">
        <f>'Sales Log'!$N$214</f>
        <v>0.97655062566696926</v>
      </c>
      <c r="C9" s="14">
        <f>C6/C7</f>
        <v>0.98126768584053736</v>
      </c>
      <c r="D9" s="14">
        <f>D6/D7</f>
        <v>0.97434049168921899</v>
      </c>
    </row>
    <row r="10" spans="1:4" ht="22.5" customHeight="1">
      <c r="A10" s="5" t="s">
        <v>131</v>
      </c>
      <c r="B10" s="8">
        <f>'Sales Log'!$O$214</f>
        <v>461.80981308411208</v>
      </c>
      <c r="C10" s="8">
        <f>AVERAGEIF('Sales Log'!$H$14:$H$213,C2,'Sales Log'!$O$14:$O$213)</f>
        <v>493.02595238095228</v>
      </c>
      <c r="D10" s="8">
        <f>AVERAGEIF('Sales Log'!$H$14:$H$213,D2,'Sales Log'!$O$14:$O$213)</f>
        <v>441.63938461538459</v>
      </c>
    </row>
    <row r="11" spans="1:4" ht="22.5" customHeight="1">
      <c r="A11" s="5" t="s">
        <v>132</v>
      </c>
      <c r="B11" s="8">
        <f>'Sales Log'!$P$214</f>
        <v>3340.876448598131</v>
      </c>
      <c r="C11" s="8">
        <f>AVERAGEIF('Sales Log'!$H$14:$H$213,C2,'Sales Log'!$P$14:$P$213)</f>
        <v>3394.3095238095239</v>
      </c>
      <c r="D11" s="8">
        <f>AVERAGEIF('Sales Log'!$H$14:$H$213,D2,'Sales Log'!$P$14:$P$213)</f>
        <v>3306.3504615384613</v>
      </c>
    </row>
    <row r="12" spans="1:4" ht="22.5" customHeight="1">
      <c r="A12" s="5" t="s">
        <v>133</v>
      </c>
      <c r="B12" s="8">
        <f>'Sales Log'!$Q$214</f>
        <v>1706.7631775700936</v>
      </c>
      <c r="C12" s="8">
        <f>AVERAGEIF('Sales Log'!$H$14:$H$213,C2,'Sales Log'!$Q$14:$Q$213)</f>
        <v>2046.3571428571429</v>
      </c>
      <c r="D12" s="8">
        <f>AVERAGEIF('Sales Log'!$H$14:$H$213,D2,'Sales Log'!$Q$14:$Q$213)</f>
        <v>1487.3332307692308</v>
      </c>
    </row>
    <row r="13" spans="1:4" ht="22.5" customHeight="1">
      <c r="A13" s="5" t="s">
        <v>134</v>
      </c>
      <c r="B13" s="8">
        <f>'Sales Log'!$R$214</f>
        <v>5047.6396261682239</v>
      </c>
      <c r="C13" s="8">
        <f>AVERAGEIF('Sales Log'!$H$14:$H$213,C2,'Sales Log'!$R$14:$R$213)</f>
        <v>5440.666666666667</v>
      </c>
      <c r="D13" s="8">
        <f>AVERAGEIF('Sales Log'!$H$14:$H$213,D2,'Sales Log'!$R$14:$R$213)</f>
        <v>4793.6836923076926</v>
      </c>
    </row>
    <row r="14" spans="1:4" ht="22.5" customHeight="1">
      <c r="A14" s="5" t="s">
        <v>135</v>
      </c>
      <c r="B14" s="10">
        <f>B13*B3</f>
        <v>540097.43999999994</v>
      </c>
      <c r="C14" s="10">
        <f>C13*C3</f>
        <v>228508</v>
      </c>
      <c r="D14" s="10">
        <f t="shared" ref="D14" si="0">D13*D3</f>
        <v>311589.44</v>
      </c>
    </row>
    <row r="15" spans="1:4" ht="22.5" customHeight="1">
      <c r="A15" s="5" t="s">
        <v>89</v>
      </c>
      <c r="B15" s="9">
        <f>(B13/(B6)*(360/B4))</f>
        <v>0.80954942957906251</v>
      </c>
      <c r="C15" s="9">
        <f t="shared" ref="C15:D15" ca="1" si="1">(C13/(C6)*(360/C4))</f>
        <v>0.86253568354340904</v>
      </c>
      <c r="D15" s="9">
        <f t="shared" ca="1" si="1"/>
        <v>0.78426318388054062</v>
      </c>
    </row>
    <row r="16" spans="1:4" ht="22.5" customHeight="1">
      <c r="A16" s="5" t="s">
        <v>136</v>
      </c>
      <c r="B16" s="9">
        <f>'Sales Log'!AA214/'Scoreboard Total'!B3</f>
        <v>0.31775700934579437</v>
      </c>
      <c r="C16" s="9">
        <f>COUNTIFS('Sales Log'!$H$14:$H$213,C2,'Sales Log'!$AA$14:$AA$213,"Yes")/C$3</f>
        <v>0.40476190476190477</v>
      </c>
      <c r="D16" s="9">
        <f>COUNTIFS('Sales Log'!$H$14:$H$213,D2,'Sales Log'!$AA$14:$AA$213,"Yes")/D$3</f>
        <v>0.26153846153846155</v>
      </c>
    </row>
    <row r="17" spans="1:4" ht="22.5" customHeight="1">
      <c r="A17" s="5" t="s">
        <v>137</v>
      </c>
      <c r="B17" s="114">
        <f>'Sales Log'!$AB$214</f>
        <v>-32.074672897196258</v>
      </c>
      <c r="C17" s="114">
        <f>AVERAGEIF('Sales Log'!$H$14:$H$213,C2,'Sales Log'!$AB$14:$AB$213)</f>
        <v>-35.714285714285715</v>
      </c>
      <c r="D17" s="114">
        <f>AVERAGEIF('Sales Log'!$H$14:$H$213,D2,'Sales Log'!$AB$14:$AB$213)</f>
        <v>-29.722923076923077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zoomScaleNormal="100" workbookViewId="0">
      <selection activeCell="D17" sqref="D17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138</v>
      </c>
      <c r="B1" s="26"/>
      <c r="C1" s="27"/>
      <c r="D1" s="27"/>
    </row>
    <row r="2" spans="1:4" ht="22.5" customHeight="1">
      <c r="A2" s="28" t="s">
        <v>79</v>
      </c>
      <c r="B2" s="28" t="s">
        <v>140</v>
      </c>
      <c r="C2" s="23" t="s">
        <v>107</v>
      </c>
      <c r="D2" s="23" t="s">
        <v>103</v>
      </c>
    </row>
    <row r="3" spans="1:4" ht="22.5" customHeight="1">
      <c r="A3" s="5" t="s">
        <v>124</v>
      </c>
      <c r="B3" s="6">
        <f>'Sales Log'!D214</f>
        <v>107</v>
      </c>
      <c r="C3" s="6">
        <f>COUNTIF('Sales Log'!$I$14:$I$213,C2)</f>
        <v>51</v>
      </c>
      <c r="D3" s="6">
        <f>COUNTIF('Sales Log'!$I$14:$I$213,D2)</f>
        <v>52</v>
      </c>
    </row>
    <row r="4" spans="1:4" ht="22.5" customHeight="1">
      <c r="A4" s="5" t="s">
        <v>125</v>
      </c>
      <c r="B4" s="7">
        <f>'Sales Log'!$F$214</f>
        <v>58.10280373831776</v>
      </c>
      <c r="C4" s="24">
        <f ca="1">AVERAGEIF('Sales Log'!$I$14:$I$213,C2,'Sales Log'!$F$14:$F$209)</f>
        <v>55.941176470588232</v>
      </c>
      <c r="D4" s="24">
        <f ca="1">AVERAGEIF('Sales Log'!$I$14:$I$213,D2,'Sales Log'!$F$14:$F$209)</f>
        <v>58.769230769230766</v>
      </c>
    </row>
    <row r="5" spans="1:4" ht="22.5" customHeight="1">
      <c r="A5" s="5" t="s">
        <v>126</v>
      </c>
      <c r="B5" s="8">
        <f>'Sales Log'!$J$214</f>
        <v>39094.093457943927</v>
      </c>
      <c r="C5" s="8">
        <f>AVERAGEIF('Sales Log'!$I$14:$I$213,C2,'Sales Log'!J14:J213)</f>
        <v>41228.921568627447</v>
      </c>
      <c r="D5" s="8">
        <f>AVERAGEIF('Sales Log'!$I$14:$I$213,D2,'Sales Log'!K14:K213)</f>
        <v>37429.615384615383</v>
      </c>
    </row>
    <row r="6" spans="1:4" ht="22.5" customHeight="1">
      <c r="A6" s="5" t="s">
        <v>127</v>
      </c>
      <c r="B6" s="8">
        <f>'Sales Log'!$K$214</f>
        <v>38632.283644859817</v>
      </c>
      <c r="C6" s="8">
        <f>AVERAGEIF('Sales Log'!$I$14:$I$213,C2,'Sales Log'!$K$14:$K$213)</f>
        <v>40736.791176470593</v>
      </c>
      <c r="D6" s="8">
        <f>AVERAGEIF('Sales Log'!$I$14:$I$213,D2,'Sales Log'!$K$14:$K$213)</f>
        <v>37429.615384615383</v>
      </c>
    </row>
    <row r="7" spans="1:4" ht="22.5" customHeight="1">
      <c r="A7" s="5" t="s">
        <v>128</v>
      </c>
      <c r="B7" s="8">
        <f>'Sales Log'!$M$214</f>
        <v>39559.939474181949</v>
      </c>
      <c r="C7" s="8">
        <f>AVERAGEIF('Sales Log'!$I$14:$I$213,C2,'Sales Log'!$M$14:$M$213)</f>
        <v>41860.882865850639</v>
      </c>
      <c r="D7" s="8">
        <f>AVERAGEIF('Sales Log'!$I$14:$I$213,D2,'Sales Log'!$M$14:$M$213)</f>
        <v>38121.432521127565</v>
      </c>
    </row>
    <row r="8" spans="1:4" ht="22.5" customHeight="1">
      <c r="A8" s="5" t="s">
        <v>129</v>
      </c>
      <c r="B8" s="9">
        <f>'Sales Log'!L214</f>
        <v>0.98822429906542075</v>
      </c>
      <c r="C8" s="14">
        <f>C5/C7</f>
        <v>0.98490329744720373</v>
      </c>
      <c r="D8" s="14">
        <f>D5/D7</f>
        <v>0.98185227860656166</v>
      </c>
    </row>
    <row r="9" spans="1:4" ht="22.5" customHeight="1">
      <c r="A9" s="5" t="s">
        <v>130</v>
      </c>
      <c r="B9" s="9">
        <f>'Sales Log'!$N$214</f>
        <v>0.97655062566696926</v>
      </c>
      <c r="C9" s="14">
        <f>C6/C7</f>
        <v>0.97314696651328725</v>
      </c>
      <c r="D9" s="14">
        <f>D6/D7</f>
        <v>0.98185227860656166</v>
      </c>
    </row>
    <row r="10" spans="1:4" ht="22.5" customHeight="1">
      <c r="A10" s="5" t="s">
        <v>131</v>
      </c>
      <c r="B10" s="8">
        <f>'Sales Log'!$O$214</f>
        <v>461.80981308411208</v>
      </c>
      <c r="C10" s="8">
        <f>AVERAGEIF('Sales Log'!$I$14:$I$213,C2,'Sales Log'!$O$14:$O$213)</f>
        <v>492.13039215686263</v>
      </c>
      <c r="D10" s="8">
        <f>AVERAGEIF('Sales Log'!$I$14:$I$213,D2,'Sales Log'!$O$14:$O$213)</f>
        <v>467.59615384615387</v>
      </c>
    </row>
    <row r="11" spans="1:4" ht="22.5" customHeight="1">
      <c r="A11" s="5" t="s">
        <v>132</v>
      </c>
      <c r="B11" s="8">
        <f>'Sales Log'!$P$214</f>
        <v>3340.876448598131</v>
      </c>
      <c r="C11" s="8">
        <f>AVERAGEIF('Sales Log'!$I$14:$I$213,C2,'Sales Log'!$P$14:$P$213)</f>
        <v>3237.627450980392</v>
      </c>
      <c r="D11" s="8">
        <f>AVERAGEIF('Sales Log'!$I$14:$I$213,D2,'Sales Log'!$P$14:$P$213)</f>
        <v>3456.7265384615384</v>
      </c>
    </row>
    <row r="12" spans="1:4" ht="22.5" customHeight="1">
      <c r="A12" s="5" t="s">
        <v>133</v>
      </c>
      <c r="B12" s="8">
        <f>'Sales Log'!$Q$214</f>
        <v>1706.7631775700936</v>
      </c>
      <c r="C12" s="8">
        <f>AVERAGEIF('Sales Log'!$I$14:$I$213,C2,'Sales Log'!$Q$14:$Q$213)</f>
        <v>1673.3529411764705</v>
      </c>
      <c r="D12" s="8">
        <f>AVERAGEIF('Sales Log'!$I$14:$I$213,D2,'Sales Log'!$Q$14:$Q$213)</f>
        <v>1771.301153846154</v>
      </c>
    </row>
    <row r="13" spans="1:4" ht="22.5" customHeight="1">
      <c r="A13" s="5" t="s">
        <v>134</v>
      </c>
      <c r="B13" s="8">
        <f>'Sales Log'!$R$214</f>
        <v>5047.6396261682239</v>
      </c>
      <c r="C13" s="8">
        <f>AVERAGEIF('Sales Log'!$I$14:$I$213,C2,'Sales Log'!$R$14:$R$213)</f>
        <v>4910.9803921568628</v>
      </c>
      <c r="D13" s="8">
        <f>AVERAGEIF('Sales Log'!$I$14:$I$213,D2,'Sales Log'!$R$14:$R$213)</f>
        <v>5228.0276923076926</v>
      </c>
    </row>
    <row r="14" spans="1:4" ht="22.5" customHeight="1">
      <c r="A14" s="5" t="s">
        <v>135</v>
      </c>
      <c r="B14" s="10">
        <f>B13*B3</f>
        <v>540097.43999999994</v>
      </c>
      <c r="C14" s="10">
        <f>C13*C3</f>
        <v>250460</v>
      </c>
      <c r="D14" s="10">
        <f t="shared" ref="D14" si="0">D13*D3</f>
        <v>271857.44</v>
      </c>
    </row>
    <row r="15" spans="1:4" ht="22.5" customHeight="1">
      <c r="A15" s="5" t="s">
        <v>89</v>
      </c>
      <c r="B15" s="9">
        <f>(B13/(B6)*(360/B4))</f>
        <v>0.80954942957906251</v>
      </c>
      <c r="C15" s="9">
        <f t="shared" ref="C15:D15" ca="1" si="1">(C13/(C6)*(360/C4))</f>
        <v>0.77580448965782089</v>
      </c>
      <c r="D15" s="9">
        <f t="shared" ca="1" si="1"/>
        <v>0.85560834035819811</v>
      </c>
    </row>
    <row r="16" spans="1:4" ht="22.5" customHeight="1">
      <c r="A16" s="5" t="s">
        <v>136</v>
      </c>
      <c r="B16" s="9">
        <f>'Sales Log'!AA214/'Scoreboard Total'!B3</f>
        <v>0.31775700934579437</v>
      </c>
      <c r="C16" s="9">
        <f>COUNTIFS('Sales Log'!$I$14:$I$213,C2,'Sales Log'!$AA$14:$AA$213,"Yes")/C$3</f>
        <v>0.37254901960784315</v>
      </c>
      <c r="D16" s="9">
        <f>COUNTIFS('Sales Log'!$I$14:$I$213,D2,'Sales Log'!$AA$14:$AA$213,"Yes")/D$3</f>
        <v>0.23076923076923078</v>
      </c>
    </row>
    <row r="17" spans="1:4" ht="22.5" customHeight="1">
      <c r="A17" s="5" t="s">
        <v>137</v>
      </c>
      <c r="B17" s="114">
        <f>'Sales Log'!$AB$214</f>
        <v>-32.074672897196258</v>
      </c>
      <c r="C17" s="114">
        <f>AVERAGEIF('Sales Log'!$I$14:$I$213,C2,'Sales Log'!$AB$14:$AB$213)</f>
        <v>-58.823529411764703</v>
      </c>
      <c r="D17" s="114">
        <f>AVERAGEIF('Sales Log'!$I$14:$I$213,D2,'Sales Log'!$AB$14:$AB$213)</f>
        <v>-8.307500000000001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K11" sqref="K11"/>
    </sheetView>
  </sheetViews>
  <sheetFormatPr defaultRowHeight="15"/>
  <cols>
    <col min="1" max="1" width="31.28515625" bestFit="1" customWidth="1"/>
    <col min="2" max="2" width="10.7109375" customWidth="1"/>
    <col min="3" max="9" width="20.7109375" customWidth="1"/>
    <col min="10" max="10" width="28.5703125" bestFit="1" customWidth="1"/>
    <col min="11" max="11" width="20.7109375" customWidth="1"/>
  </cols>
  <sheetData>
    <row r="1" spans="1:11" ht="22.5" customHeight="1">
      <c r="A1" s="25" t="s">
        <v>138</v>
      </c>
      <c r="B1" s="21"/>
    </row>
    <row r="2" spans="1:11" ht="22.5" customHeight="1">
      <c r="A2" s="28" t="s">
        <v>143</v>
      </c>
      <c r="B2" s="22" t="s">
        <v>140</v>
      </c>
      <c r="C2" s="32" t="s">
        <v>102</v>
      </c>
      <c r="D2" s="32" t="s">
        <v>109</v>
      </c>
      <c r="E2" s="32" t="s">
        <v>144</v>
      </c>
      <c r="F2" s="32" t="s">
        <v>145</v>
      </c>
      <c r="G2" s="32" t="s">
        <v>114</v>
      </c>
      <c r="H2" s="32" t="s">
        <v>146</v>
      </c>
      <c r="I2" s="32" t="s">
        <v>147</v>
      </c>
      <c r="J2" s="32" t="s">
        <v>118</v>
      </c>
      <c r="K2" s="32" t="s">
        <v>119</v>
      </c>
    </row>
    <row r="3" spans="1:11" ht="22.5" customHeight="1">
      <c r="A3" s="5" t="s">
        <v>124</v>
      </c>
      <c r="B3" s="6">
        <f>'Scoreboard Total'!B3</f>
        <v>107</v>
      </c>
      <c r="C3" s="6">
        <f>COUNTIF('Sales Log'!$G$14:$G$213,'Scoreboard by Source'!C2)</f>
        <v>75</v>
      </c>
      <c r="D3" s="6">
        <f>COUNTIF('Sales Log'!$G$14:$G$213,'Scoreboard by Source'!D2)</f>
        <v>14</v>
      </c>
      <c r="E3" s="6">
        <f>COUNTIF('Sales Log'!$G$14:$G$213,'Scoreboard by Source'!E2)</f>
        <v>4</v>
      </c>
      <c r="F3" s="6">
        <f>COUNTIF('Sales Log'!$G$14:$G$213,'Scoreboard by Source'!F2)</f>
        <v>10</v>
      </c>
      <c r="G3" s="6">
        <f>COUNTIF('Sales Log'!$G$14:$G$213,'Scoreboard by Source'!G2)</f>
        <v>1</v>
      </c>
      <c r="H3" s="6">
        <f>COUNTIF('Sales Log'!$G$14:$G$213,'Scoreboard by Source'!H2)</f>
        <v>0</v>
      </c>
      <c r="I3" s="6">
        <f>COUNTIF('Sales Log'!$G$14:$G$213,'Scoreboard by Source'!I2)</f>
        <v>0</v>
      </c>
      <c r="J3" s="6">
        <f>COUNTIF('Sales Log'!$G$14:$G$213,'Scoreboard by Source'!J2)</f>
        <v>0</v>
      </c>
      <c r="K3" s="6">
        <f>COUNTIF('Sales Log'!$G$14:$G$213,'Scoreboard by Source'!K2)</f>
        <v>3</v>
      </c>
    </row>
    <row r="4" spans="1:11" ht="22.5" customHeight="1">
      <c r="A4" s="5" t="s">
        <v>148</v>
      </c>
      <c r="B4" s="9">
        <f>B3/'Sales Log'!$D$214</f>
        <v>1</v>
      </c>
      <c r="C4" s="9">
        <f>C3/'Sales Log'!$D$214</f>
        <v>0.7009345794392523</v>
      </c>
      <c r="D4" s="9">
        <f>D3/'Sales Log'!$D$214</f>
        <v>0.13084112149532709</v>
      </c>
      <c r="E4" s="9">
        <f>E3/'Sales Log'!$D$214</f>
        <v>3.7383177570093455E-2</v>
      </c>
      <c r="F4" s="9">
        <f>F3/'Sales Log'!$D$214</f>
        <v>9.3457943925233641E-2</v>
      </c>
      <c r="G4" s="9">
        <f>G3/'Sales Log'!$D$214</f>
        <v>9.3457943925233638E-3</v>
      </c>
      <c r="H4" s="9">
        <f>H3/'Sales Log'!$D$214</f>
        <v>0</v>
      </c>
      <c r="I4" s="9">
        <f>I3/'Sales Log'!$D$214</f>
        <v>0</v>
      </c>
      <c r="J4" s="9">
        <f>J3/'Sales Log'!$D$214</f>
        <v>0</v>
      </c>
      <c r="K4" s="9">
        <f>K3/'Sales Log'!$D$214</f>
        <v>2.8037383177570093E-2</v>
      </c>
    </row>
    <row r="5" spans="1:11" ht="22.5" customHeight="1">
      <c r="A5" s="5" t="s">
        <v>141</v>
      </c>
      <c r="B5" s="14">
        <f>COUNTIFS('Sales Log'!$I$14:$I$213,"No")/B3</f>
        <v>0.48598130841121495</v>
      </c>
      <c r="C5" s="14">
        <f>COUNTIFS('Sales Log'!$I$14:$I$213,"No",'Sales Log'!$G$14:$G$213,'Scoreboard by Source'!C2)/C3</f>
        <v>0.46666666666666667</v>
      </c>
      <c r="D5" s="14">
        <f>COUNTIFS('Sales Log'!$I$14:$I$213,"No",'Sales Log'!$G$14:$G$213,'Scoreboard by Source'!D2)/D3</f>
        <v>0.7142857142857143</v>
      </c>
      <c r="E5" s="14">
        <f>COUNTIFS('Sales Log'!$I$14:$I$213,"No",'Sales Log'!$G$14:$G$213,'Scoreboard by Source'!E2)/E3</f>
        <v>0</v>
      </c>
      <c r="F5" s="14">
        <f>COUNTIFS('Sales Log'!$I$14:$I$213,"No",'Sales Log'!$G$14:$G$213,'Scoreboard by Source'!F2)/F3</f>
        <v>0.6</v>
      </c>
      <c r="G5" s="14">
        <f>COUNTIFS('Sales Log'!$I$14:$I$213,"No",'Sales Log'!$G$14:$G$213,'Scoreboard by Source'!G2)/G3</f>
        <v>0</v>
      </c>
      <c r="H5" s="14" t="e">
        <f>COUNTIFS('Sales Log'!$I$14:$I$213,"No",'Sales Log'!$G$14:$G$213,'Scoreboard by Source'!H2)/H3</f>
        <v>#DIV/0!</v>
      </c>
      <c r="I5" s="14" t="e">
        <f>COUNTIFS('Sales Log'!$I$14:$I$213,"No",'Sales Log'!$G$14:$G$213,'Scoreboard by Source'!I2)/I3</f>
        <v>#DIV/0!</v>
      </c>
      <c r="J5" s="14" t="e">
        <f>COUNTIFS('Sales Log'!$I$14:$I$213,"No",'Sales Log'!$G$14:$G$213,'Scoreboard by Source'!J2)/J3</f>
        <v>#DIV/0!</v>
      </c>
      <c r="K5" s="14">
        <f>COUNTIFS('Sales Log'!$I$14:$I$213,"No",'Sales Log'!$G$14:$G$213,'Scoreboard by Source'!K2)/K3</f>
        <v>0.33333333333333331</v>
      </c>
    </row>
    <row r="6" spans="1:11" s="4" customFormat="1" ht="21.75" customHeight="1">
      <c r="A6" s="11" t="s">
        <v>125</v>
      </c>
      <c r="B6" s="7">
        <f>'Sales Log'!$F$214</f>
        <v>58.10280373831776</v>
      </c>
      <c r="C6" s="24">
        <f ca="1">AVERAGEIF('Sales Log'!$G$14:$G$213,C2,'Sales Log'!$F$14:$F$209)</f>
        <v>49.413333333333334</v>
      </c>
      <c r="D6" s="24">
        <f ca="1">AVERAGEIF('Sales Log'!$G$14:$G$213,D2,'Sales Log'!$F$14:$F$209)</f>
        <v>69.642857142857139</v>
      </c>
      <c r="E6" s="24">
        <f ca="1">AVERAGEIF('Sales Log'!$G$14:$G$213,E2,'Sales Log'!$F$14:$F$209)</f>
        <v>133.5</v>
      </c>
      <c r="F6" s="24">
        <f ca="1">AVERAGEIF('Sales Log'!$G$14:$G$213,F2,'Sales Log'!$F$14:$F$209)</f>
        <v>97.7</v>
      </c>
      <c r="G6" s="24">
        <f ca="1">AVERAGEIF('Sales Log'!$G$14:$G$213,G2,'Sales Log'!$F$14:$F$209)</f>
        <v>22</v>
      </c>
      <c r="H6" s="24" t="e">
        <f ca="1">AVERAGEIF('Sales Log'!$G$14:$G$213,H2,'Sales Log'!$F$14:$F$209)</f>
        <v>#DIV/0!</v>
      </c>
      <c r="I6" s="24" t="e">
        <f ca="1">AVERAGEIF('Sales Log'!$G$14:$G$213,I2,'Sales Log'!$F$14:$F$209)</f>
        <v>#DIV/0!</v>
      </c>
      <c r="J6" s="24" t="e">
        <f ca="1">AVERAGEIF('Sales Log'!$G$14:$G$213,J2,'Sales Log'!$F$14:$F$209)</f>
        <v>#DIV/0!</v>
      </c>
      <c r="K6" s="24">
        <f ca="1">AVERAGEIF('Sales Log'!$G$14:$G$213,K2,'Sales Log'!$F$14:$F$209)</f>
        <v>1</v>
      </c>
    </row>
    <row r="7" spans="1:11" ht="22.5" customHeight="1">
      <c r="A7" s="5" t="s">
        <v>127</v>
      </c>
      <c r="B7" s="8">
        <f>'Sales Log'!$K$214</f>
        <v>38632.283644859817</v>
      </c>
      <c r="C7" s="8">
        <f>AVERAGEIF('Sales Log'!$G$14:$G$213,C2,'Sales Log'!$K$14:$K$213)</f>
        <v>40953.364666666668</v>
      </c>
      <c r="D7" s="8">
        <f>AVERAGEIF('Sales Log'!$G$14:$G$213,D2,'Sales Log'!$K$14:$K$213)</f>
        <v>22151.071428571428</v>
      </c>
      <c r="E7" s="8">
        <f>AVERAGEIF('Sales Log'!$G$14:$G$213,E2,'Sales Log'!$K$14:$K$213)</f>
        <v>42466</v>
      </c>
      <c r="F7" s="8">
        <f>AVERAGEIF('Sales Log'!$G$14:$G$213,F2,'Sales Log'!$K$14:$K$213)</f>
        <v>39190.699999999997</v>
      </c>
      <c r="G7" s="8">
        <f>AVERAGEIF('Sales Log'!$G$14:$G$213,G2,'Sales Log'!$K$14:$K$213)</f>
        <v>29988</v>
      </c>
      <c r="H7" s="8" t="e">
        <f>AVERAGEIF('Sales Log'!$G$14:$G$213,H2,'Sales Log'!$K$14:$K$213)</f>
        <v>#DIV/0!</v>
      </c>
      <c r="I7" s="8" t="e">
        <f>AVERAGEIF('Sales Log'!$G$14:$G$213,I2,'Sales Log'!$K$14:$K$213)</f>
        <v>#DIV/0!</v>
      </c>
      <c r="J7" s="8" t="e">
        <f>AVERAGEIF('Sales Log'!$G$14:$G$213,J2,'Sales Log'!$K$14:$K$213)</f>
        <v>#DIV/0!</v>
      </c>
      <c r="K7" s="8">
        <f>AVERAGEIF('Sales Log'!$G$14:$G$213,K2,'Sales Log'!$K$14:$K$213)</f>
        <v>53426</v>
      </c>
    </row>
    <row r="8" spans="1:11" ht="22.5" customHeight="1">
      <c r="A8" s="5" t="s">
        <v>149</v>
      </c>
      <c r="B8" s="9">
        <f>'Sales Log'!$N$214</f>
        <v>0.97655062566696926</v>
      </c>
      <c r="C8" s="14">
        <f>AVERAGEIF('Sales Log'!$G$14:$G$213,C2,'Sales Log'!$N14:$N$213)</f>
        <v>0.98261717232774226</v>
      </c>
      <c r="D8" s="14">
        <f>AVERAGEIF('Sales Log'!$G$14:$G$213,D2,'Sales Log'!$N14:$N$213)</f>
        <v>0.94798381128557785</v>
      </c>
      <c r="E8" s="14">
        <f>AVERAGEIF('Sales Log'!$G$14:$G$213,E2,'Sales Log'!$N14:$N$213)</f>
        <v>0.95289902540536153</v>
      </c>
      <c r="F8" s="14">
        <f>AVERAGEIF('Sales Log'!$G$14:$G$213,F2,'Sales Log'!$N14:$N$213)</f>
        <v>0.97010707066378077</v>
      </c>
      <c r="G8" s="14">
        <f>AVERAGEIF('Sales Log'!$G$14:$G$213,G2,'Sales Log'!$N14:$N$213)</f>
        <v>1</v>
      </c>
      <c r="H8" s="14" t="e">
        <f>AVERAGEIF('Sales Log'!$G$14:$G$213,H2,'Sales Log'!$N14:$N$213)</f>
        <v>#DIV/0!</v>
      </c>
      <c r="I8" s="14" t="e">
        <f>AVERAGEIF('Sales Log'!$G$14:$G$213,I2,'Sales Log'!$N14:$N$213)</f>
        <v>#DIV/0!</v>
      </c>
      <c r="J8" s="14" t="e">
        <f>AVERAGEIF('Sales Log'!$G$14:$G$213,J2,'Sales Log'!$N14:$N$213)</f>
        <v>#DIV/0!</v>
      </c>
      <c r="K8" s="14">
        <f>AVERAGEIF('Sales Log'!$G$14:$G$213,K2,'Sales Log'!$N14:$N$213)</f>
        <v>0.94333333333333336</v>
      </c>
    </row>
    <row r="9" spans="1:11" ht="22.5" customHeight="1">
      <c r="A9" s="5" t="s">
        <v>131</v>
      </c>
      <c r="B9" s="8">
        <f>'Sales Log'!$O$214</f>
        <v>461.80981308411208</v>
      </c>
      <c r="C9" s="8">
        <f>AVERAGEIF('Sales Log'!$G$14:$G$213,C2,'Sales Log'!$O$14:$O$213)</f>
        <v>408.91533333333325</v>
      </c>
      <c r="D9" s="8">
        <f>AVERAGEIF('Sales Log'!$G$14:$G$213,D2,'Sales Log'!$O$14:$O$213)</f>
        <v>659.85714285714289</v>
      </c>
      <c r="E9" s="8">
        <f>AVERAGEIF('Sales Log'!$G$14:$G$213,E2,'Sales Log'!$O$14:$O$213)</f>
        <v>1170.25</v>
      </c>
      <c r="F9" s="8">
        <f>AVERAGEIF('Sales Log'!$G$14:$G$213,F2,'Sales Log'!$O$14:$O$213)</f>
        <v>482.6</v>
      </c>
      <c r="G9" s="8">
        <f>AVERAGEIF('Sales Log'!$G$14:$G$213,G2,'Sales Log'!$O$14:$O$213)</f>
        <v>0</v>
      </c>
      <c r="H9" s="8" t="e">
        <f>AVERAGEIF('Sales Log'!$G$14:$G$213,H2,'Sales Log'!$O$14:$O$213)</f>
        <v>#DIV/0!</v>
      </c>
      <c r="I9" s="8" t="e">
        <f>AVERAGEIF('Sales Log'!$G$14:$G$213,I2,'Sales Log'!$O$14:$O$213)</f>
        <v>#DIV/0!</v>
      </c>
      <c r="J9" s="8" t="e">
        <f>AVERAGEIF('Sales Log'!$G$14:$G$213,J2,'Sales Log'!$O$14:$O$213)</f>
        <v>#DIV/0!</v>
      </c>
      <c r="K9" s="8">
        <f>AVERAGEIF('Sales Log'!$G$14:$G$213,K2,'Sales Log'!$O$14:$O$213)</f>
        <v>0</v>
      </c>
    </row>
    <row r="10" spans="1:11" ht="22.5" customHeight="1">
      <c r="A10" s="5" t="s">
        <v>150</v>
      </c>
      <c r="B10" s="8">
        <f>'Sales Log'!$P$214</f>
        <v>3340.876448598131</v>
      </c>
      <c r="C10" s="8">
        <f>AVERAGEIF('Sales Log'!$G$14:$G$213,C2,'Sales Log'!$P$14:$P$213)</f>
        <v>3690.5437333333339</v>
      </c>
      <c r="D10" s="8">
        <f>AVERAGEIF('Sales Log'!$G$14:$G$213,D2,'Sales Log'!$P$14:$P$213)</f>
        <v>3105.2142857142858</v>
      </c>
      <c r="E10" s="8">
        <f>AVERAGEIF('Sales Log'!$G$14:$G$213,E2,'Sales Log'!$P$14:$P$213)</f>
        <v>1353.5</v>
      </c>
      <c r="F10" s="8">
        <f>AVERAGEIF('Sales Log'!$G$14:$G$213,F2,'Sales Log'!$P$14:$P$213)</f>
        <v>2434.3000000000002</v>
      </c>
      <c r="G10" s="8">
        <f>AVERAGEIF('Sales Log'!$G$14:$G$213,G2,'Sales Log'!$P$14:$P$213)</f>
        <v>5053</v>
      </c>
      <c r="H10" s="8" t="e">
        <f>AVERAGEIF('Sales Log'!$G$14:$G$213,H2,'Sales Log'!$P$14:$P$213)</f>
        <v>#DIV/0!</v>
      </c>
      <c r="I10" s="8" t="e">
        <f>AVERAGEIF('Sales Log'!$G$14:$G$213,I2,'Sales Log'!$P$14:$P$213)</f>
        <v>#DIV/0!</v>
      </c>
      <c r="J10" s="8" t="e">
        <f>AVERAGEIF('Sales Log'!$G$14:$G$213,J2,'Sales Log'!$P$14:$P$213)</f>
        <v>#DIV/0!</v>
      </c>
      <c r="K10" s="8">
        <f>AVERAGEIF('Sales Log'!$G$14:$G$213,K2,'Sales Log'!$P$14:$P$213)</f>
        <v>800</v>
      </c>
    </row>
    <row r="11" spans="1:11" ht="22.5" customHeight="1">
      <c r="A11" s="5" t="s">
        <v>133</v>
      </c>
      <c r="B11" s="8">
        <f>'Sales Log'!$Q$214</f>
        <v>1706.7631775700936</v>
      </c>
      <c r="C11" s="8">
        <f>AVERAGEIF('Sales Log'!$G$14:$G$213,C2,'Sales Log'!$Q$14:$Q$213)</f>
        <v>1699.2354666666668</v>
      </c>
      <c r="D11" s="8">
        <f>AVERAGEIF('Sales Log'!$G$14:$G$213,D2,'Sales Log'!$Q$14:$Q$213)</f>
        <v>1505.2142857142858</v>
      </c>
      <c r="E11" s="8">
        <f>AVERAGEIF('Sales Log'!$G$14:$G$213,E2,'Sales Log'!$Q$14:$Q$213)</f>
        <v>1974.5</v>
      </c>
      <c r="F11" s="8">
        <f>AVERAGEIF('Sales Log'!$G$14:$G$213,F2,'Sales Log'!$Q$14:$Q$213)</f>
        <v>2253.1999999999998</v>
      </c>
      <c r="G11" s="8">
        <f>AVERAGEIF('Sales Log'!$G$14:$G$213,G2,'Sales Log'!$Q$14:$Q$213)</f>
        <v>1747</v>
      </c>
      <c r="H11" s="8" t="e">
        <f>AVERAGEIF('Sales Log'!$G$14:$G$213,H2,'Sales Log'!$Q$14:$Q$213)</f>
        <v>#DIV/0!</v>
      </c>
      <c r="I11" s="8" t="e">
        <f>AVERAGEIF('Sales Log'!$G$14:$G$213,I2,'Sales Log'!$Q$14:$Q$213)</f>
        <v>#DIV/0!</v>
      </c>
      <c r="J11" s="8" t="e">
        <f>AVERAGEIF('Sales Log'!$G$14:$G$213,J2,'Sales Log'!$Q$14:$Q$213)</f>
        <v>#DIV/0!</v>
      </c>
      <c r="K11" s="8">
        <f>AVERAGEIF('Sales Log'!$G$14:$G$213,K2,'Sales Log'!$Q$14:$Q$213)</f>
        <v>643.66666666666663</v>
      </c>
    </row>
    <row r="12" spans="1:11" ht="22.5" customHeight="1">
      <c r="A12" s="5" t="s">
        <v>134</v>
      </c>
      <c r="B12" s="8">
        <f>'Sales Log'!$R$214</f>
        <v>5047.6396261682239</v>
      </c>
      <c r="C12" s="8">
        <f>AVERAGEIF('Sales Log'!$G$14:$G$213,C2,'Sales Log'!$R$14:$R$213)</f>
        <v>5389.7791999999999</v>
      </c>
      <c r="D12" s="8">
        <f>AVERAGEIF('Sales Log'!$G$14:$G$213,D2,'Sales Log'!$R$14:$R$213)</f>
        <v>4610.4285714285716</v>
      </c>
      <c r="E12" s="8">
        <f>AVERAGEIF('Sales Log'!$G$14:$G$213,E2,'Sales Log'!$R$14:$R$213)</f>
        <v>3328</v>
      </c>
      <c r="F12" s="8">
        <f>AVERAGEIF('Sales Log'!$G$14:$G$213,F2,'Sales Log'!$R$14:$R$213)</f>
        <v>4687.5</v>
      </c>
      <c r="G12" s="8">
        <f>AVERAGEIF('Sales Log'!$G$14:$G$213,G2,'Sales Log'!$R$14:$R$213)</f>
        <v>6800</v>
      </c>
      <c r="H12" s="8" t="e">
        <f>AVERAGEIF('Sales Log'!$G$14:$G$213,H2,'Sales Log'!$R$14:$R$213)</f>
        <v>#DIV/0!</v>
      </c>
      <c r="I12" s="8" t="e">
        <f>AVERAGEIF('Sales Log'!$G$14:$G$213,I2,'Sales Log'!$R$14:$R$213)</f>
        <v>#DIV/0!</v>
      </c>
      <c r="J12" s="8" t="e">
        <f>AVERAGEIF('Sales Log'!$G$14:$G$213,J2,'Sales Log'!$R$14:$R$213)</f>
        <v>#DIV/0!</v>
      </c>
      <c r="K12" s="8">
        <f>AVERAGEIF('Sales Log'!$G$14:$G$213,K2,'Sales Log'!$R$14:$R$213)</f>
        <v>1443.6666666666667</v>
      </c>
    </row>
    <row r="13" spans="1:11" ht="21.75" customHeight="1">
      <c r="A13" s="5" t="s">
        <v>135</v>
      </c>
      <c r="B13" s="10">
        <f>B12*B3</f>
        <v>540097.43999999994</v>
      </c>
      <c r="C13" s="10">
        <f>C12*C3</f>
        <v>404233.44</v>
      </c>
      <c r="D13" s="10">
        <f t="shared" ref="D13:K13" si="0">D12*D3</f>
        <v>64546</v>
      </c>
      <c r="E13" s="10">
        <f t="shared" si="0"/>
        <v>13312</v>
      </c>
      <c r="F13" s="10">
        <f t="shared" si="0"/>
        <v>46875</v>
      </c>
      <c r="G13" s="10">
        <f t="shared" si="0"/>
        <v>6800</v>
      </c>
      <c r="H13" s="10" t="e">
        <f t="shared" si="0"/>
        <v>#DIV/0!</v>
      </c>
      <c r="I13" s="10" t="e">
        <f t="shared" si="0"/>
        <v>#DIV/0!</v>
      </c>
      <c r="J13" s="10" t="e">
        <f t="shared" ref="J13" si="1">J12*J3</f>
        <v>#DIV/0!</v>
      </c>
      <c r="K13" s="10">
        <f t="shared" si="0"/>
        <v>4331</v>
      </c>
    </row>
    <row r="14" spans="1:11" ht="21.75" customHeight="1">
      <c r="A14" s="5" t="s">
        <v>89</v>
      </c>
      <c r="B14" s="9">
        <f>(B12/(B7)*(360/B6))</f>
        <v>0.80954942957906251</v>
      </c>
      <c r="C14" s="9">
        <f ca="1">(C12/(C7)*(360/C6))</f>
        <v>0.95882585125473552</v>
      </c>
      <c r="D14" s="9">
        <f t="shared" ref="D14:K14" ca="1" si="2">(D12/(D7)*(360/D6))</f>
        <v>1.0759014211849451</v>
      </c>
      <c r="E14" s="9">
        <f t="shared" ca="1" si="2"/>
        <v>0.21133099473630457</v>
      </c>
      <c r="F14" s="9">
        <f t="shared" ca="1" si="2"/>
        <v>0.44072348864940097</v>
      </c>
      <c r="G14" s="9">
        <f t="shared" ca="1" si="2"/>
        <v>3.710575139146568</v>
      </c>
      <c r="H14" s="9" t="e">
        <f t="shared" ca="1" si="2"/>
        <v>#DIV/0!</v>
      </c>
      <c r="I14" s="9" t="e">
        <f t="shared" ca="1" si="2"/>
        <v>#DIV/0!</v>
      </c>
      <c r="J14" s="9" t="e">
        <f t="shared" ref="J14" ca="1" si="3">(J12/(J7)*(360/J6))</f>
        <v>#DIV/0!</v>
      </c>
      <c r="K14" s="9">
        <f t="shared" ca="1" si="2"/>
        <v>9.7278478643357165</v>
      </c>
    </row>
    <row r="15" spans="1:11" ht="21.75" customHeight="1">
      <c r="A15" s="5" t="s">
        <v>136</v>
      </c>
      <c r="B15" s="9">
        <f>'Sales Log'!AA214/'Scoreboard Total'!B3</f>
        <v>0.31775700934579437</v>
      </c>
      <c r="C15" s="9">
        <f>COUNTIFS('Sales Log'!$G$14:$G$213,C2,'Sales Log'!$AA$14:$AA$213,"Yes")/C$3</f>
        <v>0.34666666666666668</v>
      </c>
      <c r="D15" s="9">
        <f>COUNTIFS('Sales Log'!$G$14:$G$213,D2,'Sales Log'!$AA$14:$AA$213,"Yes")/D$3</f>
        <v>7.1428571428571425E-2</v>
      </c>
      <c r="E15" s="9">
        <f>COUNTIFS('Sales Log'!$G$14:$G$213,E2,'Sales Log'!$AA$14:$AA$213,"Yes")/E$3</f>
        <v>0.25</v>
      </c>
      <c r="F15" s="9">
        <f>COUNTIFS('Sales Log'!$G$14:$G$213,F2,'Sales Log'!$AA$14:$AA$213,"Yes")/F$3</f>
        <v>0.4</v>
      </c>
      <c r="G15" s="9">
        <f>COUNTIFS('Sales Log'!$G$14:$G$213,G2,'Sales Log'!$AA$14:$AA$213,"Yes")/G$3</f>
        <v>1</v>
      </c>
      <c r="H15" s="9" t="e">
        <f>COUNTIFS('Sales Log'!$G$14:$G$213,H2,'Sales Log'!$AA$14:$AA$213,"Yes")/H$3</f>
        <v>#DIV/0!</v>
      </c>
      <c r="I15" s="9" t="e">
        <f>COUNTIFS('Sales Log'!$G$14:$G$213,I2,'Sales Log'!$AA$14:$AA$213,"Yes")/I$3</f>
        <v>#DIV/0!</v>
      </c>
      <c r="J15" s="9" t="e">
        <f>COUNTIFS('Sales Log'!$G$14:$G$213,J2,'Sales Log'!$AA$14:$AA$213,"Yes")/J$3</f>
        <v>#DIV/0!</v>
      </c>
      <c r="K15" s="9">
        <f>COUNTIFS('Sales Log'!$G$14:$G$213,K2,'Sales Log'!$AA$14:$AA$213,"Yes")/K$3</f>
        <v>0.33333333333333331</v>
      </c>
    </row>
    <row r="16" spans="1:11" ht="21.75" customHeight="1">
      <c r="A16" s="5" t="s">
        <v>137</v>
      </c>
      <c r="B16" s="114">
        <f>'Sales Log'!$AB$214</f>
        <v>-32.074672897196258</v>
      </c>
      <c r="C16" s="114">
        <f>AVERAGEIF('Sales Log'!$G$14:$G$213,C2,'Sales Log'!$AB$14:$AB$213)</f>
        <v>-39.093199999999996</v>
      </c>
      <c r="D16" s="114">
        <f>AVERAGEIF('Sales Log'!$G$14:$G$213,D2,'Sales Log'!$AB$14:$AB$213)</f>
        <v>0</v>
      </c>
      <c r="E16" s="114">
        <f>AVERAGEIF('Sales Log'!$G$14:$G$213,E2,'Sales Log'!$AB$14:$AB$213)</f>
        <v>0</v>
      </c>
      <c r="F16" s="114">
        <f>AVERAGEIF('Sales Log'!$G$14:$G$213,F2,'Sales Log'!$AB$14:$AB$213)</f>
        <v>-100</v>
      </c>
      <c r="G16" s="114">
        <f>AVERAGEIF('Sales Log'!$G$14:$G$213,G2,'Sales Log'!$AB$14:$AB$213)</f>
        <v>500</v>
      </c>
      <c r="H16" s="114" t="e">
        <f>AVERAGEIF('Sales Log'!$G$14:$G$213,H2,'Sales Log'!$AB$14:$AB$213)</f>
        <v>#DIV/0!</v>
      </c>
      <c r="I16" s="114" t="e">
        <f>AVERAGEIF('Sales Log'!$G$14:$G$213,I2,'Sales Log'!$AB$14:$AB$213)</f>
        <v>#DIV/0!</v>
      </c>
      <c r="J16" s="114" t="e">
        <f>AVERAGEIF('Sales Log'!$G$14:$G$213,J2,'Sales Log'!$AB$14:$AB$213)</f>
        <v>#DIV/0!</v>
      </c>
      <c r="K16" s="114">
        <f>AVERAGEIF('Sales Log'!$G$14:$G$213,K2,'Sales Log'!$AB$14:$AB$213)</f>
        <v>0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Sheet2</vt:lpstr>
      <vt:lpstr>Scoreboard by Age</vt:lpstr>
      <vt:lpstr>Sheet1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Steven Nolet</cp:lastModifiedBy>
  <cp:revision/>
  <cp:lastPrinted>2023-10-18T16:58:45Z</cp:lastPrinted>
  <dcterms:created xsi:type="dcterms:W3CDTF">2015-12-28T19:26:50Z</dcterms:created>
  <dcterms:modified xsi:type="dcterms:W3CDTF">2023-10-27T22:05:17Z</dcterms:modified>
  <cp:category/>
  <cp:contentStatus/>
</cp:coreProperties>
</file>