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ens\Downloads\"/>
    </mc:Choice>
  </mc:AlternateContent>
  <xr:revisionPtr revIDLastSave="0" documentId="13_ncr:1_{6B318255-CA70-4F73-BD6F-669B08893C81}" xr6:coauthVersionLast="47" xr6:coauthVersionMax="47" xr10:uidLastSave="{00000000-0000-0000-0000-000000000000}"/>
  <bookViews>
    <workbookView xWindow="-98" yWindow="-98" windowWidth="20715" windowHeight="13155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7" i="1"/>
  <c r="N39" i="1"/>
  <c r="N40" i="1"/>
  <c r="N65" i="1"/>
  <c r="N83" i="1"/>
  <c r="N109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J9" i="13" s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J8" i="13" l="1"/>
  <c r="S64" i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17" i="6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9" l="1"/>
  <c r="B3" i="14"/>
  <c r="B4" i="14" s="1"/>
  <c r="B4" i="10"/>
  <c r="B16" i="12"/>
  <c r="B17" i="10"/>
  <c r="B16" i="11"/>
  <c r="B17" i="9"/>
  <c r="B15" i="14"/>
  <c r="B15" i="13"/>
  <c r="B16" i="5"/>
  <c r="B5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6" i="10"/>
  <c r="B5" i="12"/>
  <c r="AQ10" i="9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<sst xmlns="http://schemas.openxmlformats.org/spreadsheetml/2006/main" count="1276" uniqueCount="375">
  <si>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</si>
  <si>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</si>
  <si>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</si>
  <si>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</si>
  <si>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</si>
  <si>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</si>
  <si>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</si>
  <si>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</si>
  <si>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</si>
  <si>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</si>
  <si>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</si>
  <si>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</si>
  <si>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</si>
  <si>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</si>
  <si>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</si>
  <si>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</si>
  <si>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</si>
  <si>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</si>
  <si>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</si>
  <si>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</si>
  <si>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</si>
  <si>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</si>
  <si>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</si>
  <si>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</si>
  <si>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</si>
  <si>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</si>
  <si>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</si>
  <si>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</si>
  <si>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</si>
  <si>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</si>
  <si>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</si>
  <si>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</si>
  <si>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</si>
  <si>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</si>
  <si>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</si>
  <si>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</si>
  <si>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</si>
  <si>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</si>
  <si>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</si>
  <si>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</si>
  <si>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</si>
  <si>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</si>
  <si>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</si>
  <si>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</si>
  <si>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</si>
  <si>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</si>
  <si>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</si>
  <si>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</si>
  <si>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</si>
  <si>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</si>
  <si>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</si>
  <si>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</si>
  <si>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</si>
  <si>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</si>
  <si>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</si>
  <si>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</si>
  <si>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</si>
  <si>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</si>
  <si>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</si>
  <si>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</si>
  <si>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</si>
  <si>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</si>
  <si>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</si>
  <si>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</si>
  <si>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</si>
  <si>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</si>
  <si>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</si>
  <si>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</si>
  <si>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</si>
  <si>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</si>
  <si>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</si>
  <si>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</si>
  <si>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</si>
  <si>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</si>
  <si>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</si>
  <si>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</si>
  <si>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</si>
  <si>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</si>
  <si>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</si>
  <si>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</si>
  <si>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</si>
  <si>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</si>
  <si>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</si>
  <si>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</si>
  <si>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</si>
  <si>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</si>
  <si>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</si>
  <si>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</si>
  <si>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</si>
  <si>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</si>
  <si>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</si>
  <si>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</si>
  <si>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</si>
  <si>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</si>
  <si>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</si>
  <si>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</si>
  <si>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</si>
  <si>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</si>
  <si>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</si>
  <si>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</si>
  <si>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</si>
  <si>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</si>
  <si>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</si>
  <si>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</si>
  <si>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</si>
  <si>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</si>
  <si>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</si>
  <si>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</si>
  <si>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</si>
  <si>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</si>
  <si>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</si>
  <si>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</si>
  <si>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</si>
  <si>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</si>
  <si>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</si>
  <si>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</si>
  <si>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</si>
  <si>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</si>
  <si>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</si>
  <si>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</si>
  <si>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</si>
  <si>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</si>
  <si>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</si>
  <si>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</si>
  <si>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</si>
  <si>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</si>
  <si>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</si>
  <si>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</si>
  <si>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</si>
  <si>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</si>
  <si>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</si>
  <si>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</si>
  <si>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</si>
  <si>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</si>
  <si>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</si>
  <si>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</si>
  <si>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</si>
  <si>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</si>
  <si>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</si>
  <si>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</si>
  <si>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</si>
  <si>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</si>
  <si>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</si>
  <si>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</si>
  <si>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</si>
  <si>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</si>
  <si>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</si>
  <si>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</si>
  <si>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</si>
  <si>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</si>
  <si>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</si>
  <si>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</si>
  <si>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Mike Smith</t>
  </si>
  <si>
    <t>Alex Benson</t>
  </si>
  <si>
    <t>Jimmy Benson</t>
  </si>
  <si>
    <t>Michelle Stevens</t>
  </si>
  <si>
    <t>Rodney Mccauley</t>
  </si>
  <si>
    <t>Allen Hunt</t>
  </si>
  <si>
    <t>Ed</t>
  </si>
  <si>
    <t>James</t>
  </si>
  <si>
    <t>Nikki</t>
  </si>
  <si>
    <t>Fredrica</t>
  </si>
  <si>
    <t>Matt</t>
  </si>
  <si>
    <t>Deonta</t>
  </si>
  <si>
    <t>Kiel</t>
  </si>
  <si>
    <t>Courtney</t>
  </si>
  <si>
    <t>Christian</t>
  </si>
  <si>
    <t>Steven</t>
  </si>
  <si>
    <t>Taron</t>
  </si>
  <si>
    <t>CJ</t>
  </si>
  <si>
    <t>Eddy</t>
  </si>
  <si>
    <t>Nemo</t>
  </si>
  <si>
    <t>BJ</t>
  </si>
  <si>
    <t>Garrett</t>
  </si>
  <si>
    <t>k22222a</t>
  </si>
  <si>
    <t>kia</t>
  </si>
  <si>
    <t>Forte</t>
  </si>
  <si>
    <t>no</t>
  </si>
  <si>
    <t>b1848</t>
  </si>
  <si>
    <t>k23669a</t>
  </si>
  <si>
    <t>k24083a</t>
  </si>
  <si>
    <t>jeep</t>
  </si>
  <si>
    <t>Compass</t>
  </si>
  <si>
    <t>k23670a</t>
  </si>
  <si>
    <t>Soul</t>
  </si>
  <si>
    <t>yes</t>
  </si>
  <si>
    <t>k24034a</t>
  </si>
  <si>
    <t>sedona</t>
  </si>
  <si>
    <t>k23694a</t>
  </si>
  <si>
    <t>soul</t>
  </si>
  <si>
    <t>k23700a</t>
  </si>
  <si>
    <t>optima</t>
  </si>
  <si>
    <t>k24079a</t>
  </si>
  <si>
    <t>honda</t>
  </si>
  <si>
    <t>Odyssey</t>
  </si>
  <si>
    <t>k23640a</t>
  </si>
  <si>
    <t>k5</t>
  </si>
  <si>
    <t>nissan</t>
  </si>
  <si>
    <t>xterra</t>
  </si>
  <si>
    <t>Shannon Holcombe</t>
  </si>
  <si>
    <t>k24061a</t>
  </si>
  <si>
    <t>Cayenne</t>
  </si>
  <si>
    <t>k23634a</t>
  </si>
  <si>
    <t>subaru</t>
  </si>
  <si>
    <t>forrester</t>
  </si>
  <si>
    <t>k23704a</t>
  </si>
  <si>
    <t>seltos</t>
  </si>
  <si>
    <t>matt</t>
  </si>
  <si>
    <t>k24056a</t>
  </si>
  <si>
    <t>civic</t>
  </si>
  <si>
    <t>b2004</t>
  </si>
  <si>
    <t>sportage</t>
  </si>
  <si>
    <t>k23656b</t>
  </si>
  <si>
    <t>k23600a</t>
  </si>
  <si>
    <t>ed</t>
  </si>
  <si>
    <t>k24097a</t>
  </si>
  <si>
    <t>james</t>
  </si>
  <si>
    <t>k24062a</t>
  </si>
  <si>
    <t>ford</t>
  </si>
  <si>
    <t>mustang</t>
  </si>
  <si>
    <t>k23719a</t>
  </si>
  <si>
    <t>hyundai</t>
  </si>
  <si>
    <t>sonata</t>
  </si>
  <si>
    <t>trade on new</t>
  </si>
  <si>
    <t>k24085a</t>
  </si>
  <si>
    <t>pilot</t>
  </si>
  <si>
    <t>k23708a</t>
  </si>
  <si>
    <t>nikki</t>
  </si>
  <si>
    <t>k24087a</t>
  </si>
  <si>
    <t>pathfinder</t>
  </si>
  <si>
    <t>b2020</t>
  </si>
  <si>
    <t>f 250</t>
  </si>
  <si>
    <t>k23701a</t>
  </si>
  <si>
    <t>toyota</t>
  </si>
  <si>
    <t>corolla</t>
  </si>
  <si>
    <t>kiel</t>
  </si>
  <si>
    <t>k24030a</t>
  </si>
  <si>
    <t>Pacifica</t>
  </si>
  <si>
    <t>courtney</t>
  </si>
  <si>
    <t>b2005</t>
  </si>
  <si>
    <t>dodge</t>
  </si>
  <si>
    <t>journey</t>
  </si>
  <si>
    <t>k24082a</t>
  </si>
  <si>
    <t>rio</t>
  </si>
  <si>
    <t>k24105a</t>
  </si>
  <si>
    <t>escape</t>
  </si>
  <si>
    <t>k23716a</t>
  </si>
  <si>
    <t>sorento</t>
  </si>
  <si>
    <t>eddy</t>
  </si>
  <si>
    <t>k23654a</t>
  </si>
  <si>
    <t>k24076a</t>
  </si>
  <si>
    <t>k23671a</t>
  </si>
  <si>
    <t>k23593b</t>
  </si>
  <si>
    <t>christian</t>
  </si>
  <si>
    <t>k24061b</t>
  </si>
  <si>
    <t>volkswagen</t>
  </si>
  <si>
    <t>atlas</t>
  </si>
  <si>
    <t>k23717a</t>
  </si>
  <si>
    <t>b1852</t>
  </si>
  <si>
    <t>k24096a</t>
  </si>
  <si>
    <t>ecosport</t>
  </si>
  <si>
    <t>k24020a</t>
  </si>
  <si>
    <t>rav4</t>
  </si>
  <si>
    <t>k23484a</t>
  </si>
  <si>
    <t>genesis</t>
  </si>
  <si>
    <t>g70</t>
  </si>
  <si>
    <t>k24116a</t>
  </si>
  <si>
    <t>rogue</t>
  </si>
  <si>
    <t>k24093a</t>
  </si>
  <si>
    <t>edge</t>
  </si>
  <si>
    <t>k23727a</t>
  </si>
  <si>
    <t>k23675a</t>
  </si>
  <si>
    <t>k24067a</t>
  </si>
  <si>
    <t>traverse</t>
  </si>
  <si>
    <t>k24107a</t>
  </si>
  <si>
    <t>cr-v</t>
  </si>
  <si>
    <t>b2019</t>
  </si>
  <si>
    <t>telluride</t>
  </si>
  <si>
    <t>k23699a</t>
  </si>
  <si>
    <t>sonic</t>
  </si>
  <si>
    <t>k24120a</t>
  </si>
  <si>
    <t>tahoe</t>
  </si>
  <si>
    <t>k24106a</t>
  </si>
  <si>
    <t>b2018</t>
  </si>
  <si>
    <t>4runner</t>
  </si>
  <si>
    <t>b2017</t>
  </si>
  <si>
    <t>tacoma</t>
  </si>
  <si>
    <t>k24050b</t>
  </si>
  <si>
    <t>b2028</t>
  </si>
  <si>
    <t>k24157a</t>
  </si>
  <si>
    <t>bmw</t>
  </si>
  <si>
    <t>x5</t>
  </si>
  <si>
    <t>k24068a</t>
  </si>
  <si>
    <t>wrangler</t>
  </si>
  <si>
    <t>n23459a</t>
  </si>
  <si>
    <t>maxima</t>
  </si>
  <si>
    <t>n23502a</t>
  </si>
  <si>
    <t>ka3411</t>
  </si>
  <si>
    <t>n23590a</t>
  </si>
  <si>
    <t>ranger</t>
  </si>
  <si>
    <t>n23503a</t>
  </si>
  <si>
    <t>volvo</t>
  </si>
  <si>
    <t>v90</t>
  </si>
  <si>
    <t>n23658a</t>
  </si>
  <si>
    <t>n23465a</t>
  </si>
  <si>
    <t>silverado</t>
  </si>
  <si>
    <t>a3419</t>
  </si>
  <si>
    <t>titan</t>
  </si>
  <si>
    <t>ka3417</t>
  </si>
  <si>
    <t>n23609a</t>
  </si>
  <si>
    <t>canyon</t>
  </si>
  <si>
    <t>n23486a</t>
  </si>
  <si>
    <t>tesla</t>
  </si>
  <si>
    <t>model s</t>
  </si>
  <si>
    <t>ka3420</t>
  </si>
  <si>
    <t>ram</t>
  </si>
  <si>
    <t>a3396a</t>
  </si>
  <si>
    <t>ka3406</t>
  </si>
  <si>
    <t>trailblazer</t>
  </si>
  <si>
    <t>n23605a</t>
  </si>
  <si>
    <t>santa fe</t>
  </si>
  <si>
    <t>a3397b</t>
  </si>
  <si>
    <t>n23337b</t>
  </si>
  <si>
    <t>n23628a</t>
  </si>
  <si>
    <t>frontier</t>
  </si>
  <si>
    <t>n23470a</t>
  </si>
  <si>
    <t>mazda</t>
  </si>
  <si>
    <t>mazda5</t>
  </si>
  <si>
    <t>n23607a</t>
  </si>
  <si>
    <t>n23613a</t>
  </si>
  <si>
    <t>murano</t>
  </si>
  <si>
    <t>a3396b</t>
  </si>
  <si>
    <t>charger</t>
  </si>
  <si>
    <t>n23524a</t>
  </si>
  <si>
    <t>n23605b</t>
  </si>
  <si>
    <t>a3422</t>
  </si>
  <si>
    <t>armada</t>
  </si>
  <si>
    <t>bj</t>
  </si>
  <si>
    <t>a3405a</t>
  </si>
  <si>
    <t>buick</t>
  </si>
  <si>
    <t>cascada</t>
  </si>
  <si>
    <t>ka3416</t>
  </si>
  <si>
    <t>n23342a</t>
  </si>
  <si>
    <t>lexus</t>
  </si>
  <si>
    <t>is 250c</t>
  </si>
  <si>
    <t>ka3427</t>
  </si>
  <si>
    <t>f-150</t>
  </si>
  <si>
    <t>ka3427a</t>
  </si>
  <si>
    <t>ka3430</t>
  </si>
  <si>
    <t>infiniti</t>
  </si>
  <si>
    <t>qx80</t>
  </si>
  <si>
    <t>n23471a</t>
  </si>
  <si>
    <t>ka3425</t>
  </si>
  <si>
    <t>n23376a</t>
  </si>
  <si>
    <t>renegade</t>
  </si>
  <si>
    <t>n24024a</t>
  </si>
  <si>
    <t>terrain</t>
  </si>
  <si>
    <t>a3421</t>
  </si>
  <si>
    <t>ka3434</t>
  </si>
  <si>
    <t>ka3414</t>
  </si>
  <si>
    <t>a3407</t>
  </si>
  <si>
    <t>n23337c</t>
  </si>
  <si>
    <t>n24001a</t>
  </si>
  <si>
    <t>es</t>
  </si>
  <si>
    <t>n23636a</t>
  </si>
  <si>
    <t>n23725a</t>
  </si>
  <si>
    <t>versa</t>
  </si>
  <si>
    <t>ka3436</t>
  </si>
  <si>
    <t>sienna</t>
  </si>
  <si>
    <t>a3407a</t>
  </si>
  <si>
    <t>a3429</t>
  </si>
  <si>
    <t>n23587a</t>
  </si>
  <si>
    <t>n23503b</t>
  </si>
  <si>
    <t>passat</t>
  </si>
  <si>
    <t>n240234a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</si>
</sst>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101599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30" sqref="A30"/>
    </sheetView>
  </sheetViews>
  <sheetFormatPr defaultRowHeight="14.25"/>
  <cols>
    <col min="1" max="4" width="25.73046875" customWidth="1"/>
    <col min="5" max="5" width="17.597656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152</v>
      </c>
      <c r="B2" s="2" t="s">
        <v>155</v>
      </c>
      <c r="C2" s="2" t="s">
        <v>158</v>
      </c>
      <c r="D2" s="2" t="s">
        <v>30</v>
      </c>
      <c r="E2" s="41" t="s">
        <v>8</v>
      </c>
    </row>
    <row r="3" spans="1:5">
      <c r="A3" s="2" t="s">
        <v>153</v>
      </c>
      <c r="B3" s="2" t="s">
        <v>156</v>
      </c>
      <c r="C3" s="2" t="s">
        <v>159</v>
      </c>
      <c r="D3" s="2" t="s">
        <v>43</v>
      </c>
      <c r="E3" s="3" t="s">
        <v>10</v>
      </c>
    </row>
    <row r="4" spans="1:5">
      <c r="A4" s="2" t="s">
        <v>154</v>
      </c>
      <c r="B4" s="2" t="s">
        <v>157</v>
      </c>
      <c r="C4" s="2" t="s">
        <v>160</v>
      </c>
      <c r="D4" s="2"/>
      <c r="E4" s="3" t="s">
        <v>11</v>
      </c>
    </row>
    <row r="5" spans="1:5">
      <c r="A5" s="2" t="s">
        <v>199</v>
      </c>
      <c r="B5" s="2"/>
      <c r="C5" s="2" t="s">
        <v>161</v>
      </c>
      <c r="D5" s="2"/>
      <c r="E5" s="3" t="s">
        <v>9</v>
      </c>
    </row>
    <row r="6" spans="1:5">
      <c r="A6" s="2"/>
      <c r="B6" s="2"/>
      <c r="C6" s="2" t="s">
        <v>162</v>
      </c>
      <c r="D6" s="2"/>
      <c r="E6" s="3" t="s">
        <v>12</v>
      </c>
    </row>
    <row r="7" spans="1:5">
      <c r="A7" s="2"/>
      <c r="B7" s="2"/>
      <c r="C7" s="2" t="s">
        <v>163</v>
      </c>
      <c r="D7" s="2"/>
      <c r="E7" s="3" t="s">
        <v>13</v>
      </c>
    </row>
    <row r="8" spans="1:5">
      <c r="A8" s="2"/>
      <c r="B8" s="2"/>
      <c r="C8" s="2" t="s">
        <v>164</v>
      </c>
      <c r="D8" s="2"/>
      <c r="E8" s="3" t="s">
        <v>14</v>
      </c>
    </row>
    <row r="9" spans="1:5">
      <c r="A9" s="2"/>
      <c r="B9" s="2"/>
      <c r="C9" s="2" t="s">
        <v>165</v>
      </c>
      <c r="D9" s="2"/>
      <c r="E9" s="3" t="s">
        <v>15</v>
      </c>
    </row>
    <row r="10" spans="1:5">
      <c r="A10" s="2"/>
      <c r="B10" s="2"/>
      <c r="C10" s="2" t="s">
        <v>166</v>
      </c>
      <c r="D10" s="2"/>
      <c r="E10" s="3" t="s">
        <v>16</v>
      </c>
    </row>
    <row r="11" spans="1:5">
      <c r="A11" s="2"/>
      <c r="B11" s="2"/>
      <c r="C11" s="2" t="s">
        <v>167</v>
      </c>
      <c r="D11" s="2"/>
      <c r="E11" s="3" t="s">
        <v>17</v>
      </c>
    </row>
    <row r="12" spans="1:5">
      <c r="A12" s="2"/>
      <c r="B12" s="2"/>
      <c r="C12" s="2" t="s">
        <v>168</v>
      </c>
      <c r="D12" s="2"/>
      <c r="E12" s="3" t="s">
        <v>18</v>
      </c>
    </row>
    <row r="13" spans="1:5">
      <c r="A13" s="2"/>
      <c r="B13" s="2"/>
      <c r="C13" s="2" t="s">
        <v>169</v>
      </c>
      <c r="D13" s="2"/>
      <c r="E13" s="3" t="s">
        <v>19</v>
      </c>
    </row>
    <row r="14" spans="1:5">
      <c r="A14" s="2"/>
      <c r="B14" s="2"/>
      <c r="C14" s="2" t="s">
        <v>170</v>
      </c>
      <c r="D14" s="2"/>
      <c r="E14" s="3" t="s">
        <v>20</v>
      </c>
    </row>
    <row r="15" spans="1:5">
      <c r="A15" s="2"/>
      <c r="B15" s="2"/>
      <c r="C15" s="2" t="s">
        <v>171</v>
      </c>
      <c r="D15" s="2"/>
      <c r="E15" s="3" t="s">
        <v>21</v>
      </c>
    </row>
    <row r="16" spans="1:5">
      <c r="A16" s="2"/>
      <c r="B16" s="2"/>
      <c r="C16" s="2" t="s">
        <v>172</v>
      </c>
      <c r="D16" s="2"/>
      <c r="E16" s="3" t="s">
        <v>22</v>
      </c>
    </row>
    <row r="17" spans="1:5">
      <c r="A17" s="2"/>
      <c r="B17" s="2"/>
      <c r="C17" s="2" t="s">
        <v>173</v>
      </c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 activeCell="F8" sqref="F8"/>
    </sheetView>
  </sheetViews>
  <sheetFormatPr defaultRowHeight="14.25"/>
  <cols>
    <col min="1" max="1" width="31.265625" bestFit="1" customWidth="1"/>
    <col min="2" max="7" width="15.73046875" customWidth="1"/>
  </cols>
  <sheetData>
    <row r="1" spans="1:7" ht="22.5" customHeight="1">
      <c r="A1" s="25" t="s">
        <v>138</v>
      </c>
      <c r="B1" s="21"/>
    </row>
    <row r="2" spans="1:7" ht="22.5" customHeight="1">
      <c r="A2" s="28" t="s">
        <v>151</v>
      </c>
      <c r="B2" s="22" t="s">
        <v>140</v>
      </c>
      <c r="C2" s="32" t="s">
        <v>106</v>
      </c>
      <c r="D2" s="32" t="s">
        <v>110</v>
      </c>
      <c r="E2" s="32" t="s">
        <v>112</v>
      </c>
      <c r="F2" s="32" t="s">
        <v>113</v>
      </c>
      <c r="G2" s="32" t="s">
        <v>115</v>
      </c>
    </row>
    <row r="3" spans="1:7" ht="22.5" customHeight="1">
      <c r="A3" s="5" t="s">
        <v>124</v>
      </c>
      <c r="B3" s="6">
        <f>'Scoreboard Total'!B3</f>
        <v>105</v>
      </c>
      <c r="C3" s="6">
        <f>COUNTIF('Sales Log'!$W$14:$W$213,30)</f>
        <v>52</v>
      </c>
      <c r="D3" s="6">
        <f>COUNTIF('Sales Log'!$W$14:$W$213,45)</f>
        <v>22</v>
      </c>
      <c r="E3" s="6">
        <f>COUNTIF('Sales Log'!$W$14:$W$213,60)</f>
        <v>18</v>
      </c>
      <c r="F3" s="6">
        <f>COUNTIF('Sales Log'!$W$14:$W$213,90)</f>
        <v>10</v>
      </c>
      <c r="G3" s="6">
        <f>COUNTIF('Sales Log'!$W$14:$W$213,91)</f>
        <v>3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0.49523809523809526</v>
      </c>
      <c r="D4" s="9">
        <f>D3/'Sales Log'!$D$214</f>
        <v>0.20952380952380953</v>
      </c>
      <c r="E4" s="9">
        <f>E3/'Sales Log'!$D$214</f>
        <v>0.17142857142857143</v>
      </c>
      <c r="F4" s="9">
        <f>F3/'Sales Log'!$D$214</f>
        <v>9.5238095238095233E-2</v>
      </c>
      <c r="G4" s="9">
        <f>G3/'Sales Log'!$D$214</f>
        <v>2.8571428571428571E-2</v>
      </c>
    </row>
    <row r="5" spans="1:7" ht="22.5" customHeight="1">
      <c r="A5" s="5" t="s">
        <v>141</v>
      </c>
      <c r="B5" s="14">
        <f>COUNTIFS('Sales Log'!$I$14:$I$213,"No")/B3</f>
        <v>0.53333333333333333</v>
      </c>
      <c r="C5" s="14">
        <f>COUNTIFS('Sales Log'!$I$14:$I$213,"No",'Sales Log'!$W$14:$W$213,30)/C3</f>
        <v>0.48076923076923078</v>
      </c>
      <c r="D5" s="14">
        <f>COUNTIFS('Sales Log'!$I$14:$I$213,"No",'Sales Log'!$W$14:$W$213,45)/D3</f>
        <v>0.40909090909090912</v>
      </c>
      <c r="E5" s="14">
        <f>COUNTIFS('Sales Log'!$I$14:$I$213,"No",'Sales Log'!$W$14:$W$213,60)/E3</f>
        <v>0.72222222222222221</v>
      </c>
      <c r="F5" s="14">
        <f>COUNTIFS('Sales Log'!$I$14:$I$213,"No",'Sales Log'!$W$14:$W$213,90)/F3</f>
        <v>0.6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125</v>
      </c>
      <c r="B6" s="7">
        <f>'Sales Log'!$F$214</f>
        <v>35.390476190476193</v>
      </c>
      <c r="C6" s="24">
        <f>AVERAGEIF('Sales Log'!$W$14:$W$213,30,'Sales Log'!$F$14:$F$213)</f>
        <v>18</v>
      </c>
      <c r="D6" s="24">
        <f>AVERAGEIF('Sales Log'!$W$14:$W$213,45,'Sales Log'!$F$14:$F$213)</f>
        <v>37.772727272727273</v>
      </c>
      <c r="E6" s="24">
        <f>AVERAGEIF('Sales Log'!$W$14:$W$213,60,'Sales Log'!$F$14:$F$213)</f>
        <v>50.833333333333336</v>
      </c>
      <c r="F6" s="24">
        <f>AVERAGEIF('Sales Log'!$W$14:$W$213,90,'Sales Log'!$F$14:$F$213)</f>
        <v>72.3</v>
      </c>
      <c r="G6" s="24">
        <f>AVERAGEIF('Sales Log'!$W$14:$W$213,91,'Sales Log'!$F$14:$F$213)</f>
        <v>103.66666666666667</v>
      </c>
    </row>
    <row r="7" spans="1:7" ht="22.5" customHeight="1">
      <c r="A7" s="5" t="s">
        <v>127</v>
      </c>
      <c r="B7" s="8">
        <f>'Sales Log'!$K$214</f>
        <v>23505.971428571429</v>
      </c>
      <c r="C7" s="8">
        <f>AVERAGEIF('Sales Log'!$W$14:$W$213,30,'Sales Log'!$K$14:$K$213)</f>
        <v>21882.5</v>
      </c>
      <c r="D7" s="8">
        <f>AVERAGEIF('Sales Log'!$W$14:$W$213,45,'Sales Log'!$K$14:$K$213)</f>
        <v>23498.636363636364</v>
      </c>
      <c r="E7" s="8">
        <f>AVERAGEIF('Sales Log'!$W$14:$W$213,60,'Sales Log'!$K$14:$K$213)</f>
        <v>25481.277777777777</v>
      </c>
      <c r="F7" s="8">
        <f>AVERAGEIF('Sales Log'!$W$14:$W$213,90,'Sales Log'!$K$14:$K$213)</f>
        <v>22857.4</v>
      </c>
      <c r="G7" s="8">
        <f>AVERAGEIF('Sales Log'!$W$14:$W$213,91,'Sales Log'!$K$14:$K$213)</f>
        <v>42010</v>
      </c>
    </row>
    <row r="8" spans="1:7" ht="22.5" customHeight="1">
      <c r="A8" s="5" t="s">
        <v>149</v>
      </c>
      <c r="B8" s="9">
        <f>'Sales Log'!$N$214</f>
        <v>0.96129321118349109</v>
      </c>
      <c r="C8" s="14">
        <f>AVERAGEIF('Sales Log'!$W$14:$W$213,30,'Sales Log'!$N14:$N$213)</f>
        <v>0.9870329412678025</v>
      </c>
      <c r="D8" s="14">
        <f>AVERAGEIF('Sales Log'!$W$14:$W$213,45,'Sales Log'!$N14:$N$213)</f>
        <v>0.95752849126769912</v>
      </c>
      <c r="E8" s="14">
        <f>AVERAGEIF('Sales Log'!$W$14:$W$213,60,'Sales Log'!$N14:$N$213)</f>
        <v>0.93547051331637965</v>
      </c>
      <c r="F8" s="14">
        <f>AVERAGEIF('Sales Log'!$W$14:$W$213,90,'Sales Log'!$N14:$N$213)</f>
        <v>0.92819556597793584</v>
      </c>
      <c r="G8" s="14">
        <f>AVERAGEIF('Sales Log'!$W$14:$W$213,91,'Sales Log'!$N14:$N$213)</f>
        <v>0.8677567606621871</v>
      </c>
    </row>
    <row r="9" spans="1:7" ht="22.5" customHeight="1">
      <c r="A9" s="5" t="s">
        <v>131</v>
      </c>
      <c r="B9" s="8">
        <f>'Sales Log'!$O$214</f>
        <v>-47.923809523809524</v>
      </c>
      <c r="C9" s="8">
        <f>AVERAGEIF('Sales Log'!$W$14:$W$213,30,'Sales Log'!$O$14:$O$213)</f>
        <v>-59.519230769230766</v>
      </c>
      <c r="D9" s="8">
        <f>AVERAGEIF('Sales Log'!$W$14:$W$213,45,'Sales Log'!$O$14:$O$213)</f>
        <v>-135</v>
      </c>
      <c r="E9" s="8">
        <f>AVERAGEIF('Sales Log'!$W$14:$W$213,60,'Sales Log'!$O$14:$O$213)</f>
        <v>85.388888888888886</v>
      </c>
      <c r="F9" s="8">
        <f>AVERAGEIF('Sales Log'!$W$14:$W$213,90,'Sales Log'!$O$14:$O$213)</f>
        <v>-177.4</v>
      </c>
      <c r="G9" s="8">
        <f>AVERAGEIF('Sales Log'!$W$14:$W$213,91,'Sales Log'!$O$14:$O$213)</f>
        <v>423.33333333333331</v>
      </c>
    </row>
    <row r="10" spans="1:7" ht="22.5" customHeight="1">
      <c r="A10" s="5" t="s">
        <v>150</v>
      </c>
      <c r="B10" s="8">
        <f>'Sales Log'!$P$214</f>
        <v>1959.2952380952381</v>
      </c>
      <c r="C10" s="8">
        <f>AVERAGEIF('Sales Log'!$W$14:$W$213,30,'Sales Log'!$P$14:$P$213)</f>
        <v>2849.8076923076924</v>
      </c>
      <c r="D10" s="8">
        <f>AVERAGEIF('Sales Log'!$W$14:$W$213,45,'Sales Log'!$P$14:$P$213)</f>
        <v>1917.9545454545455</v>
      </c>
      <c r="E10" s="8">
        <f>AVERAGEIF('Sales Log'!$W$14:$W$213,60,'Sales Log'!$P$14:$P$213)</f>
        <v>815.66666666666663</v>
      </c>
      <c r="F10" s="8">
        <f>AVERAGEIF('Sales Log'!$W$14:$W$213,90,'Sales Log'!$P$14:$P$213)</f>
        <v>668.6</v>
      </c>
      <c r="G10" s="8">
        <f>AVERAGEIF('Sales Log'!$W$14:$W$213,91,'Sales Log'!$P$14:$P$213)</f>
        <v>-2009</v>
      </c>
    </row>
    <row r="11" spans="1:7" ht="22.5" customHeight="1">
      <c r="A11" s="5" t="s">
        <v>133</v>
      </c>
      <c r="B11" s="8">
        <f>'Sales Log'!$Q$214</f>
        <v>1546.7211538461538</v>
      </c>
      <c r="C11" s="8">
        <f>AVERAGEIF('Sales Log'!$W$14:$W$213,30,'Sales Log'!$Q$14:$Q$213)</f>
        <v>1418.3725490196077</v>
      </c>
      <c r="D11" s="8">
        <f>AVERAGEIF('Sales Log'!$W$14:$W$213,45,'Sales Log'!$Q$14:$Q$213)</f>
        <v>1880.5</v>
      </c>
      <c r="E11" s="8">
        <f>AVERAGEIF('Sales Log'!$W$14:$W$213,60,'Sales Log'!$Q$14:$Q$213)</f>
        <v>1434</v>
      </c>
      <c r="F11" s="8">
        <f>AVERAGEIF('Sales Log'!$W$14:$W$213,90,'Sales Log'!$Q$14:$Q$213)</f>
        <v>1909.5</v>
      </c>
      <c r="G11" s="8">
        <f>AVERAGEIF('Sales Log'!$W$14:$W$213,91,'Sales Log'!$Q$14:$Q$213)</f>
        <v>748</v>
      </c>
    </row>
    <row r="12" spans="1:7" ht="22.5" customHeight="1">
      <c r="A12" s="5" t="s">
        <v>134</v>
      </c>
      <c r="B12" s="8">
        <f>'Sales Log'!$R$214</f>
        <v>3491.2857142857142</v>
      </c>
      <c r="C12" s="8">
        <f>C10+C11</f>
        <v>4268.1802413272999</v>
      </c>
      <c r="D12" s="8">
        <f t="shared" ref="D12:G12" si="0">D10+D11</f>
        <v>3798.4545454545455</v>
      </c>
      <c r="E12" s="8">
        <f t="shared" si="0"/>
        <v>2249.6666666666665</v>
      </c>
      <c r="F12" s="8">
        <f t="shared" si="0"/>
        <v>2578.1</v>
      </c>
      <c r="G12" s="8">
        <f t="shared" si="0"/>
        <v>-1261</v>
      </c>
    </row>
    <row r="13" spans="1:7" ht="21.75" customHeight="1">
      <c r="A13" s="5" t="s">
        <v>135</v>
      </c>
      <c r="B13" s="10">
        <f>B12*B3</f>
        <v>366585</v>
      </c>
      <c r="C13" s="10">
        <f>C12*C3</f>
        <v>221945.37254901958</v>
      </c>
      <c r="D13" s="10">
        <f t="shared" ref="D13:G13" si="1">D12*D3</f>
        <v>83566</v>
      </c>
      <c r="E13" s="10">
        <f t="shared" si="1"/>
        <v>40494</v>
      </c>
      <c r="F13" s="10">
        <f t="shared" si="1"/>
        <v>25781</v>
      </c>
      <c r="G13" s="10">
        <f t="shared" si="1"/>
        <v>-3783</v>
      </c>
    </row>
    <row r="14" spans="1:7" ht="21.75" customHeight="1">
      <c r="A14" s="5" t="s">
        <v>89</v>
      </c>
      <c r="B14" s="9">
        <f>(B12/(B7)*(360/B6))</f>
        <v>1.5108567247816356</v>
      </c>
      <c r="C14" s="9">
        <f>(C12/(C7)*(360/C6))</f>
        <v>3.9009987353614073</v>
      </c>
      <c r="D14" s="9">
        <f t="shared" ref="D14:G14" si="2">(D12/(D7)*(360/D6))</f>
        <v>1.5405948113797496</v>
      </c>
      <c r="E14" s="9">
        <f t="shared" si="2"/>
        <v>0.62524594381467191</v>
      </c>
      <c r="F14" s="9">
        <f t="shared" si="2"/>
        <v>0.56161297645982389</v>
      </c>
      <c r="G14" s="9">
        <f t="shared" si="2"/>
        <v>-0.10423792834503498</v>
      </c>
    </row>
    <row r="15" spans="1:7" ht="21.75" customHeight="1">
      <c r="A15" s="5" t="s">
        <v>136</v>
      </c>
      <c r="B15" s="9">
        <f>'Sales Log'!AA214/'Scoreboard Total'!B3</f>
        <v>0.34285714285714286</v>
      </c>
      <c r="C15" s="9">
        <f>COUNTIFS('Sales Log'!$W$14:$W$213,30,'Sales Log'!$AA$14:$AA$213,"Yes")/C$3</f>
        <v>0.30769230769230771</v>
      </c>
      <c r="D15" s="9">
        <f>COUNTIFS('Sales Log'!$W$14:$W$213,45,'Sales Log'!$AA$14:$AA$213,"Yes")/D$3</f>
        <v>0.27272727272727271</v>
      </c>
      <c r="E15" s="9">
        <f>COUNTIFS('Sales Log'!$W$14:$W$213,60,'Sales Log'!$AA$14:$AA$213,"Yes")/E$3</f>
        <v>0.33333333333333331</v>
      </c>
      <c r="F15" s="9">
        <f>COUNTIFS('Sales Log'!$W$14:$W$213,90,'Sales Log'!$AA$14:$AA$213,"Yes")/F$3</f>
        <v>0.5</v>
      </c>
      <c r="G15" s="9">
        <f>COUNTIFS('Sales Log'!$W$14:$W$213,91,'Sales Log'!$AA$14:$AA$213,"Yes")/G$3</f>
        <v>1</v>
      </c>
    </row>
    <row r="16" spans="1:7" ht="21.75" customHeight="1">
      <c r="A16" s="5" t="s">
        <v>137</v>
      </c>
      <c r="B16" s="114">
        <f>'Sales Log'!$AB$214</f>
        <v>86.416666666666671</v>
      </c>
      <c r="C16" s="114">
        <f>AVERAGEIF('Sales Log'!$W$14:$W$213,30,'Sales Log'!$AB$14:$AB$213)</f>
        <v>106.9375</v>
      </c>
      <c r="D16" s="114">
        <f>AVERAGEIF('Sales Log'!$W$14:$W$213,45,'Sales Log'!$AB$14:$AB$213)</f>
        <v>-16.666666666666668</v>
      </c>
      <c r="E16" s="114">
        <f>AVERAGEIF('Sales Log'!$W$14:$W$213,60,'Sales Log'!$AB$14:$AB$213)</f>
        <v>0</v>
      </c>
      <c r="F16" s="114">
        <f>AVERAGEIF('Sales Log'!$W$14:$W$213,90,'Sales Log'!$AB$14:$AB$213)</f>
        <v>300</v>
      </c>
      <c r="G16" s="114">
        <f>AVERAGEIF('Sales Log'!$W$14:$W$213,91,'Sales Log'!$AB$14:$AB$213)</f>
        <v>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87" zoomScaleNormal="87" workbookViewId="0">
      <pane ySplit="13" topLeftCell="A23" activePane="bottomLeft" state="frozen"/>
      <selection pane="bottomLeft" activeCell="G35" sqref="G35"/>
    </sheetView>
  </sheetViews>
  <sheetFormatPr defaultColWidth="9.1328125" defaultRowHeight="15.4"/>
  <cols>
    <col min="1" max="1" width="4.86328125" style="109" customWidth="1"/>
    <col min="2" max="2" width="10.3984375" style="109" customWidth="1"/>
    <col min="3" max="3" width="6.06640625" style="110" bestFit="1" customWidth="1"/>
    <col min="4" max="4" width="13.73046875" style="110" bestFit="1" customWidth="1"/>
    <col min="5" max="5" width="14.3984375" style="110" bestFit="1" customWidth="1"/>
    <col min="6" max="6" width="7.1328125" style="110" bestFit="1" customWidth="1"/>
    <col min="7" max="7" width="18.86328125" style="109" bestFit="1" customWidth="1"/>
    <col min="8" max="8" width="4.1328125" style="111" bestFit="1" customWidth="1"/>
    <col min="9" max="9" width="11" style="111" hidden="1" customWidth="1"/>
    <col min="10" max="10" width="15.59765625" style="51" bestFit="1" customWidth="1"/>
    <col min="11" max="11" width="11.86328125" style="51" bestFit="1" customWidth="1"/>
    <col min="12" max="12" width="15.3984375" style="51" customWidth="1"/>
    <col min="13" max="13" width="12.59765625" style="51" hidden="1" customWidth="1"/>
    <col min="14" max="14" width="13.1328125" style="51" hidden="1" customWidth="1"/>
    <col min="15" max="15" width="13.3984375" style="51" hidden="1" customWidth="1"/>
    <col min="16" max="16" width="9.59765625" style="112" bestFit="1" customWidth="1"/>
    <col min="17" max="17" width="8.3984375" style="112" bestFit="1" customWidth="1"/>
    <col min="18" max="18" width="9.1328125" style="51" hidden="1" customWidth="1"/>
    <col min="19" max="19" width="7.86328125" style="51" hidden="1" customWidth="1"/>
    <col min="20" max="20" width="14.59765625" style="51" bestFit="1" customWidth="1"/>
    <col min="21" max="21" width="13.86328125" style="51" bestFit="1" customWidth="1"/>
    <col min="22" max="22" width="16.59765625" style="51" bestFit="1" customWidth="1"/>
    <col min="23" max="23" width="12.1328125" style="51" hidden="1" customWidth="1"/>
    <col min="24" max="24" width="18.86328125" style="51" hidden="1" customWidth="1"/>
    <col min="25" max="25" width="7.1328125" style="51" hidden="1" customWidth="1"/>
    <col min="26" max="26" width="10.1328125" style="51" hidden="1" customWidth="1"/>
    <col min="27" max="27" width="6" style="51" bestFit="1" customWidth="1"/>
    <col min="28" max="28" width="10.1328125" style="51" customWidth="1"/>
    <col min="29" max="16384" width="9.1328125" style="51"/>
  </cols>
  <sheetData>
    <row r="1" spans="1:28" ht="21.4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4.2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4.2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73.150000000000006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177</v>
      </c>
      <c r="H12" s="56" t="s">
        <v>78</v>
      </c>
      <c r="I12" s="56" t="s">
        <v>79</v>
      </c>
      <c r="J12" s="58" t="s">
        <v>80</v>
      </c>
      <c r="K12" s="58" t="s">
        <v>81</v>
      </c>
      <c r="L12" s="58" t="s">
        <v>82</v>
      </c>
      <c r="M12" s="58" t="s">
        <v>83</v>
      </c>
      <c r="N12" s="58" t="s">
        <v>84</v>
      </c>
      <c r="O12" s="58" t="s">
        <v>85</v>
      </c>
      <c r="P12" s="58" t="s">
        <v>86</v>
      </c>
      <c r="Q12" s="58" t="s">
        <v>87</v>
      </c>
      <c r="R12" s="58" t="s">
        <v>88</v>
      </c>
      <c r="S12" s="58" t="s">
        <v>89</v>
      </c>
      <c r="T12" s="58" t="s">
        <v>90</v>
      </c>
      <c r="U12" s="58" t="s">
        <v>91</v>
      </c>
      <c r="V12" s="58" t="s">
        <v>92</v>
      </c>
      <c r="W12" s="59" t="s">
        <v>93</v>
      </c>
      <c r="X12" s="59" t="s">
        <v>94</v>
      </c>
      <c r="Y12" s="59" t="s">
        <v>95</v>
      </c>
      <c r="Z12" s="59" t="s">
        <v>96</v>
      </c>
      <c r="AA12" s="56" t="s">
        <v>97</v>
      </c>
      <c r="AB12" s="56" t="s">
        <v>98</v>
      </c>
    </row>
    <row r="13" spans="1:28" ht="14.25">
      <c r="A13" s="61" t="s">
        <v>99</v>
      </c>
      <c r="B13" s="61" t="s">
        <v>100</v>
      </c>
      <c r="C13" s="62">
        <v>2015</v>
      </c>
      <c r="D13" s="62" t="s">
        <v>17</v>
      </c>
      <c r="E13" s="62" t="s">
        <v>101</v>
      </c>
      <c r="F13" s="62">
        <v>30</v>
      </c>
      <c r="G13" s="62" t="s">
        <v>102</v>
      </c>
      <c r="H13" s="62" t="s">
        <v>103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104</v>
      </c>
      <c r="U13" s="72" t="s">
        <v>105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102</v>
      </c>
      <c r="Y13" s="74" t="s">
        <v>103</v>
      </c>
      <c r="Z13" s="74" t="s">
        <v>106</v>
      </c>
      <c r="AA13" s="62" t="s">
        <v>107</v>
      </c>
      <c r="AB13" s="68">
        <v>2000</v>
      </c>
    </row>
    <row r="14" spans="1:28" ht="14.25">
      <c r="A14" s="15">
        <v>1</v>
      </c>
      <c r="B14" s="15" t="s">
        <v>174</v>
      </c>
      <c r="C14" s="16">
        <v>2020</v>
      </c>
      <c r="D14" s="75" t="s">
        <v>30</v>
      </c>
      <c r="E14" s="16" t="s">
        <v>176</v>
      </c>
      <c r="F14" s="17">
        <v>41</v>
      </c>
      <c r="G14" s="75" t="s">
        <v>102</v>
      </c>
      <c r="H14" s="75" t="s">
        <v>103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18200</v>
      </c>
      <c r="K14" s="37">
        <v>18546</v>
      </c>
      <c r="L14" s="77">
        <v>0.98</v>
      </c>
      <c r="M14" s="78">
        <f t="shared" ref="M14:M15" si="3">J14/L14</f>
        <v>18571.428571428572</v>
      </c>
      <c r="N14" s="79">
        <f t="shared" ref="N14:N15" si="4">K14/M14</f>
        <v>0.99863076923076921</v>
      </c>
      <c r="O14" s="80">
        <f t="shared" ref="O14:O15" si="5">IF(K14=0,"BLANK",(J14-K14))</f>
        <v>-346</v>
      </c>
      <c r="P14" s="19">
        <v>2573</v>
      </c>
      <c r="Q14" s="19">
        <v>2061</v>
      </c>
      <c r="R14" s="81">
        <f t="shared" ref="R14:R15" si="6">IF(K14=0,"BLANK",SUM(P14:Q14))</f>
        <v>4634</v>
      </c>
      <c r="S14" s="82">
        <f t="shared" ref="S14:S15" si="7">(R14/(K14-P14))*(360/F14)</f>
        <v>2.5473474292747063</v>
      </c>
      <c r="T14" s="83" t="s">
        <v>161</v>
      </c>
      <c r="U14" s="83" t="s">
        <v>152</v>
      </c>
      <c r="V14" s="83" t="s">
        <v>155</v>
      </c>
      <c r="W14" s="113">
        <f t="shared" si="2"/>
        <v>45</v>
      </c>
      <c r="X14" s="74" t="s">
        <v>109</v>
      </c>
      <c r="Y14" s="74" t="s">
        <v>107</v>
      </c>
      <c r="Z14" s="74" t="s">
        <v>110</v>
      </c>
      <c r="AA14" s="75" t="s">
        <v>103</v>
      </c>
      <c r="AB14" s="44"/>
    </row>
    <row r="15" spans="1:28" ht="14.25">
      <c r="A15" s="15">
        <f t="shared" ref="A15:A78" si="8">A14+1</f>
        <v>2</v>
      </c>
      <c r="B15" s="15" t="s">
        <v>178</v>
      </c>
      <c r="C15" s="16">
        <v>2020</v>
      </c>
      <c r="D15" s="75" t="s">
        <v>30</v>
      </c>
      <c r="E15" s="16" t="s">
        <v>176</v>
      </c>
      <c r="F15" s="17">
        <v>34</v>
      </c>
      <c r="G15" s="75" t="s">
        <v>118</v>
      </c>
      <c r="H15" s="75" t="s">
        <v>103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16500</v>
      </c>
      <c r="K15" s="37">
        <v>16500</v>
      </c>
      <c r="L15" s="35">
        <v>0.97</v>
      </c>
      <c r="M15" s="78">
        <f t="shared" si="3"/>
        <v>17010.309278350516</v>
      </c>
      <c r="N15" s="79">
        <f t="shared" si="4"/>
        <v>0.97</v>
      </c>
      <c r="O15" s="80">
        <f t="shared" si="5"/>
        <v>0</v>
      </c>
      <c r="P15" s="19">
        <v>1984</v>
      </c>
      <c r="Q15" s="19">
        <v>2506</v>
      </c>
      <c r="R15" s="81">
        <f t="shared" si="6"/>
        <v>4490</v>
      </c>
      <c r="S15" s="82">
        <f t="shared" si="7"/>
        <v>3.2750879354221709</v>
      </c>
      <c r="T15" s="83" t="s">
        <v>161</v>
      </c>
      <c r="U15" s="83" t="s">
        <v>152</v>
      </c>
      <c r="V15" s="83" t="s">
        <v>155</v>
      </c>
      <c r="W15" s="113">
        <f t="shared" si="2"/>
        <v>45</v>
      </c>
      <c r="X15" s="74" t="s">
        <v>111</v>
      </c>
      <c r="Z15" s="74" t="s">
        <v>112</v>
      </c>
      <c r="AA15" s="75" t="s">
        <v>103</v>
      </c>
      <c r="AB15" s="44"/>
    </row>
    <row r="16" spans="1:28" ht="27.4" customHeight="1">
      <c r="A16" s="15">
        <f t="shared" si="8"/>
        <v>3</v>
      </c>
      <c r="B16" s="15" t="s">
        <v>179</v>
      </c>
      <c r="C16" s="16">
        <v>2011</v>
      </c>
      <c r="D16" s="75" t="s">
        <v>30</v>
      </c>
      <c r="E16" s="16" t="s">
        <v>176</v>
      </c>
      <c r="F16" s="17">
        <v>26</v>
      </c>
      <c r="G16" s="75" t="s">
        <v>102</v>
      </c>
      <c r="H16" s="75" t="s">
        <v>103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4500</v>
      </c>
      <c r="K16" s="37">
        <v>4799</v>
      </c>
      <c r="L16" s="35">
        <v>0.95</v>
      </c>
      <c r="M16" s="78">
        <f t="shared" ref="M16:M78" si="9">J16/L16</f>
        <v>4736.8421052631584</v>
      </c>
      <c r="N16" s="79">
        <f t="shared" ref="N16:N78" si="10">K16/M16</f>
        <v>1.013122222222222</v>
      </c>
      <c r="O16" s="80">
        <f t="shared" si="0"/>
        <v>-299</v>
      </c>
      <c r="P16" s="19">
        <v>2782</v>
      </c>
      <c r="Q16" s="19">
        <v>0</v>
      </c>
      <c r="R16" s="81">
        <f t="shared" si="1"/>
        <v>2782</v>
      </c>
      <c r="S16" s="82">
        <f t="shared" ref="S16:S78" si="11">(R16/(K16-P16))*(360/F16)</f>
        <v>19.09766980664353</v>
      </c>
      <c r="T16" s="83" t="s">
        <v>161</v>
      </c>
      <c r="U16" s="83" t="s">
        <v>152</v>
      </c>
      <c r="V16" s="83" t="s">
        <v>155</v>
      </c>
      <c r="W16" s="113">
        <f t="shared" si="2"/>
        <v>30</v>
      </c>
      <c r="X16" s="74" t="s">
        <v>108</v>
      </c>
      <c r="Z16" s="74" t="s">
        <v>113</v>
      </c>
      <c r="AA16" s="75" t="s">
        <v>103</v>
      </c>
      <c r="AB16" s="44"/>
    </row>
    <row r="17" spans="1:28" ht="14.25">
      <c r="A17" s="15">
        <f t="shared" si="8"/>
        <v>4</v>
      </c>
      <c r="B17" s="15" t="s">
        <v>180</v>
      </c>
      <c r="C17" s="16">
        <v>2017</v>
      </c>
      <c r="D17" s="75" t="s">
        <v>29</v>
      </c>
      <c r="E17" s="16" t="s">
        <v>182</v>
      </c>
      <c r="F17" s="17">
        <v>11</v>
      </c>
      <c r="G17" s="75" t="s">
        <v>102</v>
      </c>
      <c r="H17" s="75" t="s">
        <v>177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16500</v>
      </c>
      <c r="K17" s="37">
        <v>16077</v>
      </c>
      <c r="L17" s="35">
        <v>0.99</v>
      </c>
      <c r="M17" s="78">
        <f t="shared" si="9"/>
        <v>16666.666666666668</v>
      </c>
      <c r="N17" s="79">
        <f t="shared" si="10"/>
        <v>0.96461999999999992</v>
      </c>
      <c r="O17" s="80">
        <f t="shared" si="0"/>
        <v>423</v>
      </c>
      <c r="P17" s="19">
        <v>3375</v>
      </c>
      <c r="Q17" s="19">
        <v>0</v>
      </c>
      <c r="R17" s="81">
        <f t="shared" si="1"/>
        <v>3375</v>
      </c>
      <c r="S17" s="82">
        <f t="shared" si="11"/>
        <v>8.6958388800618369</v>
      </c>
      <c r="T17" s="83" t="s">
        <v>162</v>
      </c>
      <c r="U17" s="83" t="s">
        <v>152</v>
      </c>
      <c r="V17" s="83" t="s">
        <v>157</v>
      </c>
      <c r="W17" s="113">
        <f t="shared" si="2"/>
        <v>30</v>
      </c>
      <c r="X17" s="74" t="s">
        <v>114</v>
      </c>
      <c r="Z17" s="74" t="s">
        <v>115</v>
      </c>
      <c r="AA17" s="75" t="s">
        <v>107</v>
      </c>
      <c r="AB17" s="44">
        <v>0</v>
      </c>
    </row>
    <row r="18" spans="1:28" ht="14.25">
      <c r="A18" s="15">
        <f t="shared" si="8"/>
        <v>5</v>
      </c>
      <c r="B18" s="15" t="s">
        <v>183</v>
      </c>
      <c r="C18" s="16">
        <v>2021</v>
      </c>
      <c r="D18" s="75" t="s">
        <v>30</v>
      </c>
      <c r="E18" s="16" t="s">
        <v>184</v>
      </c>
      <c r="F18" s="17">
        <v>43</v>
      </c>
      <c r="G18" s="75" t="s">
        <v>102</v>
      </c>
      <c r="H18" s="75" t="s">
        <v>177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19700</v>
      </c>
      <c r="K18" s="37">
        <v>20600</v>
      </c>
      <c r="L18" s="35">
        <v>0.95</v>
      </c>
      <c r="M18" s="78">
        <f t="shared" si="9"/>
        <v>20736.84210526316</v>
      </c>
      <c r="N18" s="79">
        <f t="shared" si="10"/>
        <v>0.99340101522842628</v>
      </c>
      <c r="O18" s="80">
        <f t="shared" si="0"/>
        <v>-900</v>
      </c>
      <c r="P18" s="19">
        <v>2734</v>
      </c>
      <c r="Q18" s="19">
        <v>1544</v>
      </c>
      <c r="R18" s="81">
        <f t="shared" si="1"/>
        <v>4278</v>
      </c>
      <c r="S18" s="82">
        <f t="shared" si="11"/>
        <v>2.0046912545331006</v>
      </c>
      <c r="T18" s="83" t="s">
        <v>160</v>
      </c>
      <c r="U18" s="83" t="s">
        <v>152</v>
      </c>
      <c r="V18" s="83" t="s">
        <v>156</v>
      </c>
      <c r="W18" s="113">
        <f t="shared" si="2"/>
        <v>45</v>
      </c>
      <c r="X18" s="74" t="s">
        <v>116</v>
      </c>
      <c r="AA18" s="75" t="s">
        <v>185</v>
      </c>
      <c r="AB18" s="44">
        <v>0</v>
      </c>
    </row>
    <row r="19" spans="1:28" ht="14.25">
      <c r="A19" s="15">
        <f t="shared" si="8"/>
        <v>6</v>
      </c>
      <c r="B19" s="15" t="s">
        <v>186</v>
      </c>
      <c r="C19" s="16">
        <v>2019</v>
      </c>
      <c r="D19" s="75" t="s">
        <v>175</v>
      </c>
      <c r="E19" s="16" t="s">
        <v>187</v>
      </c>
      <c r="F19" s="17">
        <v>48</v>
      </c>
      <c r="G19" s="75" t="s">
        <v>102</v>
      </c>
      <c r="H19" s="75" t="s">
        <v>177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>
        <v>19700</v>
      </c>
      <c r="K19" s="37">
        <v>19201</v>
      </c>
      <c r="L19" s="35">
        <v>0.93</v>
      </c>
      <c r="M19" s="78">
        <f t="shared" si="9"/>
        <v>21182.795698924729</v>
      </c>
      <c r="N19" s="79">
        <f t="shared" si="10"/>
        <v>0.90644314720812191</v>
      </c>
      <c r="O19" s="80">
        <f t="shared" si="0"/>
        <v>499</v>
      </c>
      <c r="P19" s="19">
        <v>42</v>
      </c>
      <c r="Q19" s="19">
        <v>0</v>
      </c>
      <c r="R19" s="81">
        <f t="shared" si="1"/>
        <v>42</v>
      </c>
      <c r="S19" s="82">
        <f t="shared" si="11"/>
        <v>1.6441359152356595E-2</v>
      </c>
      <c r="T19" s="83" t="s">
        <v>162</v>
      </c>
      <c r="U19" s="83" t="s">
        <v>152</v>
      </c>
      <c r="V19" s="83" t="s">
        <v>157</v>
      </c>
      <c r="W19" s="113">
        <f t="shared" si="2"/>
        <v>60</v>
      </c>
      <c r="X19" s="74" t="s">
        <v>117</v>
      </c>
      <c r="AA19" s="75" t="s">
        <v>185</v>
      </c>
      <c r="AB19" s="44">
        <v>0</v>
      </c>
    </row>
    <row r="20" spans="1:28" ht="14.25">
      <c r="A20" s="15">
        <f t="shared" si="8"/>
        <v>7</v>
      </c>
      <c r="B20" s="15" t="s">
        <v>188</v>
      </c>
      <c r="C20" s="16">
        <v>2014</v>
      </c>
      <c r="D20" s="75" t="s">
        <v>175</v>
      </c>
      <c r="E20" s="16" t="s">
        <v>189</v>
      </c>
      <c r="F20" s="17">
        <v>31</v>
      </c>
      <c r="G20" s="75" t="s">
        <v>102</v>
      </c>
      <c r="H20" s="75" t="s">
        <v>177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8400</v>
      </c>
      <c r="K20" s="37">
        <v>8918</v>
      </c>
      <c r="L20" s="35">
        <v>0.92</v>
      </c>
      <c r="M20" s="78">
        <f t="shared" si="9"/>
        <v>9130.434782608696</v>
      </c>
      <c r="N20" s="79">
        <f t="shared" si="10"/>
        <v>0.97673333333333334</v>
      </c>
      <c r="O20" s="80">
        <f t="shared" si="0"/>
        <v>-518</v>
      </c>
      <c r="P20" s="19">
        <v>6700</v>
      </c>
      <c r="Q20" s="19">
        <v>0</v>
      </c>
      <c r="R20" s="81">
        <f t="shared" si="1"/>
        <v>6700</v>
      </c>
      <c r="S20" s="82">
        <f t="shared" si="11"/>
        <v>35.079554379126797</v>
      </c>
      <c r="T20" s="83" t="s">
        <v>162</v>
      </c>
      <c r="U20" s="83" t="s">
        <v>153</v>
      </c>
      <c r="V20" s="83" t="s">
        <v>155</v>
      </c>
      <c r="W20" s="113">
        <f t="shared" si="2"/>
        <v>45</v>
      </c>
      <c r="X20" s="74" t="s">
        <v>118</v>
      </c>
      <c r="AA20" s="75" t="s">
        <v>185</v>
      </c>
      <c r="AB20" s="44">
        <v>-600</v>
      </c>
    </row>
    <row r="21" spans="1:28" ht="14.25">
      <c r="A21" s="15">
        <f t="shared" si="8"/>
        <v>8</v>
      </c>
      <c r="B21" s="15" t="s">
        <v>190</v>
      </c>
      <c r="C21" s="16">
        <v>2016</v>
      </c>
      <c r="D21" s="75" t="s">
        <v>175</v>
      </c>
      <c r="E21" s="16" t="s">
        <v>191</v>
      </c>
      <c r="F21" s="17">
        <v>22</v>
      </c>
      <c r="G21" s="75" t="s">
        <v>102</v>
      </c>
      <c r="H21" s="75" t="s">
        <v>177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12000</v>
      </c>
      <c r="K21" s="37">
        <v>11900</v>
      </c>
      <c r="L21" s="35">
        <v>0.97</v>
      </c>
      <c r="M21" s="78">
        <f t="shared" si="9"/>
        <v>12371.134020618558</v>
      </c>
      <c r="N21" s="79">
        <f t="shared" si="10"/>
        <v>0.96191666666666653</v>
      </c>
      <c r="O21" s="80">
        <f t="shared" si="0"/>
        <v>100</v>
      </c>
      <c r="P21" s="19">
        <v>3800</v>
      </c>
      <c r="Q21" s="19">
        <v>1274</v>
      </c>
      <c r="R21" s="81">
        <f t="shared" si="1"/>
        <v>5074</v>
      </c>
      <c r="S21" s="82">
        <f t="shared" si="11"/>
        <v>10.250505050505049</v>
      </c>
      <c r="T21" s="83" t="s">
        <v>160</v>
      </c>
      <c r="U21" s="83" t="s">
        <v>152</v>
      </c>
      <c r="V21" s="83" t="s">
        <v>155</v>
      </c>
      <c r="W21" s="113">
        <f t="shared" si="2"/>
        <v>30</v>
      </c>
      <c r="X21" s="74" t="s">
        <v>119</v>
      </c>
      <c r="AA21" s="75" t="s">
        <v>177</v>
      </c>
      <c r="AB21" s="44"/>
    </row>
    <row r="22" spans="1:28" ht="14.25">
      <c r="A22" s="15">
        <f t="shared" si="8"/>
        <v>9</v>
      </c>
      <c r="B22" s="15" t="s">
        <v>192</v>
      </c>
      <c r="C22" s="16">
        <v>2012</v>
      </c>
      <c r="D22" s="75" t="s">
        <v>24</v>
      </c>
      <c r="E22" s="16" t="s">
        <v>194</v>
      </c>
      <c r="F22" s="17">
        <v>9</v>
      </c>
      <c r="G22" s="75" t="s">
        <v>102</v>
      </c>
      <c r="H22" s="75" t="s">
        <v>177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13500</v>
      </c>
      <c r="K22" s="37">
        <v>13399</v>
      </c>
      <c r="L22" s="35">
        <v>1.02</v>
      </c>
      <c r="M22" s="78">
        <f t="shared" si="9"/>
        <v>13235.294117647059</v>
      </c>
      <c r="N22" s="79">
        <f t="shared" si="10"/>
        <v>1.0123688888888889</v>
      </c>
      <c r="O22" s="80">
        <f t="shared" si="0"/>
        <v>101</v>
      </c>
      <c r="P22" s="19">
        <v>4926</v>
      </c>
      <c r="Q22" s="19"/>
      <c r="R22" s="81">
        <f t="shared" si="1"/>
        <v>4926</v>
      </c>
      <c r="S22" s="82">
        <f t="shared" si="11"/>
        <v>23.255045438451553</v>
      </c>
      <c r="T22" s="83" t="s">
        <v>167</v>
      </c>
      <c r="U22" s="83" t="s">
        <v>152</v>
      </c>
      <c r="V22" s="83" t="s">
        <v>155</v>
      </c>
      <c r="W22" s="113">
        <f t="shared" si="2"/>
        <v>30</v>
      </c>
      <c r="AA22" s="75" t="s">
        <v>177</v>
      </c>
      <c r="AB22" s="44"/>
    </row>
    <row r="23" spans="1:28" ht="14.25">
      <c r="A23" s="15">
        <f t="shared" si="8"/>
        <v>10</v>
      </c>
      <c r="B23" s="15" t="s">
        <v>195</v>
      </c>
      <c r="C23" s="16">
        <v>2021</v>
      </c>
      <c r="D23" s="75" t="s">
        <v>175</v>
      </c>
      <c r="E23" s="16" t="s">
        <v>196</v>
      </c>
      <c r="F23" s="17">
        <v>79</v>
      </c>
      <c r="G23" s="75" t="s">
        <v>102</v>
      </c>
      <c r="H23" s="75" t="s">
        <v>177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25000</v>
      </c>
      <c r="K23" s="37">
        <v>25000</v>
      </c>
      <c r="L23" s="35">
        <v>0.92</v>
      </c>
      <c r="M23" s="78">
        <f t="shared" si="9"/>
        <v>27173.91304347826</v>
      </c>
      <c r="N23" s="79">
        <f t="shared" si="10"/>
        <v>0.92</v>
      </c>
      <c r="O23" s="80">
        <f t="shared" si="0"/>
        <v>0</v>
      </c>
      <c r="P23" s="19">
        <v>1062</v>
      </c>
      <c r="Q23" s="19">
        <v>0</v>
      </c>
      <c r="R23" s="81">
        <f t="shared" si="1"/>
        <v>1062</v>
      </c>
      <c r="S23" s="82">
        <f t="shared" si="11"/>
        <v>0.20216783653129233</v>
      </c>
      <c r="T23" s="83" t="s">
        <v>161</v>
      </c>
      <c r="U23" s="83" t="s">
        <v>152</v>
      </c>
      <c r="V23" s="83" t="s">
        <v>155</v>
      </c>
      <c r="W23" s="113">
        <f t="shared" si="2"/>
        <v>90</v>
      </c>
      <c r="AA23" s="75" t="s">
        <v>177</v>
      </c>
      <c r="AB23" s="44"/>
    </row>
    <row r="24" spans="1:28" ht="14.25">
      <c r="A24" s="15">
        <f t="shared" si="8"/>
        <v>11</v>
      </c>
      <c r="B24" s="15" t="s">
        <v>213</v>
      </c>
      <c r="C24" s="16">
        <v>2013</v>
      </c>
      <c r="D24" s="75" t="s">
        <v>43</v>
      </c>
      <c r="E24" s="16" t="s">
        <v>198</v>
      </c>
      <c r="F24" s="17">
        <v>44</v>
      </c>
      <c r="G24" s="75" t="s">
        <v>102</v>
      </c>
      <c r="H24" s="75" t="s">
        <v>177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10800</v>
      </c>
      <c r="K24" s="37">
        <v>10800</v>
      </c>
      <c r="L24" s="35">
        <v>0.97</v>
      </c>
      <c r="M24" s="78">
        <f t="shared" si="9"/>
        <v>11134.020618556702</v>
      </c>
      <c r="N24" s="79">
        <f t="shared" si="10"/>
        <v>0.96999999999999986</v>
      </c>
      <c r="O24" s="80">
        <f t="shared" si="0"/>
        <v>0</v>
      </c>
      <c r="P24" s="19">
        <v>2129</v>
      </c>
      <c r="Q24" s="19">
        <v>0</v>
      </c>
      <c r="R24" s="81">
        <f t="shared" si="1"/>
        <v>2129</v>
      </c>
      <c r="S24" s="82">
        <f t="shared" si="11"/>
        <v>2.008890659565322</v>
      </c>
      <c r="T24" s="83" t="s">
        <v>160</v>
      </c>
      <c r="U24" s="83" t="s">
        <v>199</v>
      </c>
      <c r="V24" s="83" t="s">
        <v>155</v>
      </c>
      <c r="W24" s="113">
        <f t="shared" si="2"/>
        <v>45</v>
      </c>
      <c r="AA24" s="75" t="s">
        <v>177</v>
      </c>
      <c r="AB24" s="44"/>
    </row>
    <row r="25" spans="1:28" ht="14.25">
      <c r="A25" s="15">
        <f t="shared" si="8"/>
        <v>12</v>
      </c>
      <c r="B25" s="15" t="s">
        <v>200</v>
      </c>
      <c r="C25" s="16">
        <v>2012</v>
      </c>
      <c r="D25" s="75" t="s">
        <v>46</v>
      </c>
      <c r="E25" s="16" t="s">
        <v>201</v>
      </c>
      <c r="F25" s="17">
        <v>30</v>
      </c>
      <c r="G25" s="75" t="s">
        <v>102</v>
      </c>
      <c r="H25" s="75" t="s">
        <v>177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26500</v>
      </c>
      <c r="K25" s="37">
        <v>26530</v>
      </c>
      <c r="L25" s="35">
        <v>0.94</v>
      </c>
      <c r="M25" s="78">
        <f t="shared" si="9"/>
        <v>28191.48936170213</v>
      </c>
      <c r="N25" s="79">
        <f t="shared" si="10"/>
        <v>0.94106415094339613</v>
      </c>
      <c r="O25" s="80">
        <f t="shared" si="0"/>
        <v>-30</v>
      </c>
      <c r="P25" s="19">
        <v>2497</v>
      </c>
      <c r="Q25" s="19">
        <v>0</v>
      </c>
      <c r="R25" s="81">
        <f t="shared" si="1"/>
        <v>2497</v>
      </c>
      <c r="S25" s="82">
        <f t="shared" si="11"/>
        <v>1.2467856697041568</v>
      </c>
      <c r="T25" s="83" t="s">
        <v>158</v>
      </c>
      <c r="U25" s="83" t="s">
        <v>152</v>
      </c>
      <c r="V25" s="83" t="s">
        <v>155</v>
      </c>
      <c r="W25" s="113">
        <f t="shared" si="2"/>
        <v>30</v>
      </c>
      <c r="AA25" s="75" t="s">
        <v>185</v>
      </c>
      <c r="AB25" s="44">
        <v>0</v>
      </c>
    </row>
    <row r="26" spans="1:28" ht="14.25">
      <c r="A26" s="15">
        <f t="shared" si="8"/>
        <v>13</v>
      </c>
      <c r="B26" s="15" t="s">
        <v>202</v>
      </c>
      <c r="C26" s="16">
        <v>2022</v>
      </c>
      <c r="D26" s="75" t="s">
        <v>203</v>
      </c>
      <c r="E26" s="16" t="s">
        <v>204</v>
      </c>
      <c r="F26" s="17">
        <v>56</v>
      </c>
      <c r="G26" s="75" t="s">
        <v>102</v>
      </c>
      <c r="H26" s="75" t="s">
        <v>177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7">
        <v>31700</v>
      </c>
      <c r="K26" s="37">
        <v>31637</v>
      </c>
      <c r="L26" s="35">
        <v>0.98</v>
      </c>
      <c r="M26" s="78">
        <f t="shared" si="9"/>
        <v>32346.938775510203</v>
      </c>
      <c r="N26" s="79">
        <f t="shared" si="10"/>
        <v>0.97805236593059941</v>
      </c>
      <c r="O26" s="80">
        <f t="shared" si="0"/>
        <v>63</v>
      </c>
      <c r="P26" s="19">
        <v>2332</v>
      </c>
      <c r="Q26" s="19">
        <v>0</v>
      </c>
      <c r="R26" s="81">
        <f t="shared" si="1"/>
        <v>2332</v>
      </c>
      <c r="S26" s="82">
        <f t="shared" si="11"/>
        <v>0.51156555439101081</v>
      </c>
      <c r="T26" s="83" t="s">
        <v>207</v>
      </c>
      <c r="U26" s="83" t="s">
        <v>152</v>
      </c>
      <c r="V26" s="83" t="s">
        <v>155</v>
      </c>
      <c r="W26" s="113">
        <f t="shared" si="2"/>
        <v>60</v>
      </c>
      <c r="AA26" s="75" t="s">
        <v>185</v>
      </c>
      <c r="AB26" s="44">
        <v>0</v>
      </c>
    </row>
    <row r="27" spans="1:28" ht="14.25">
      <c r="A27" s="15">
        <f t="shared" si="8"/>
        <v>14</v>
      </c>
      <c r="B27" s="15" t="s">
        <v>205</v>
      </c>
      <c r="C27" s="16">
        <v>2021</v>
      </c>
      <c r="D27" s="75" t="s">
        <v>175</v>
      </c>
      <c r="E27" s="16" t="s">
        <v>206</v>
      </c>
      <c r="F27" s="17">
        <v>28</v>
      </c>
      <c r="G27" s="75" t="s">
        <v>102</v>
      </c>
      <c r="H27" s="75" t="s">
        <v>177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22700</v>
      </c>
      <c r="K27" s="37">
        <v>22101</v>
      </c>
      <c r="L27" s="35">
        <v>0.95</v>
      </c>
      <c r="M27" s="78">
        <f t="shared" si="9"/>
        <v>23894.736842105263</v>
      </c>
      <c r="N27" s="79">
        <f t="shared" si="10"/>
        <v>0.92493171806167396</v>
      </c>
      <c r="O27" s="80">
        <f t="shared" si="0"/>
        <v>599</v>
      </c>
      <c r="P27" s="19">
        <v>660</v>
      </c>
      <c r="Q27" s="19">
        <v>1509</v>
      </c>
      <c r="R27" s="81">
        <f t="shared" si="1"/>
        <v>2169</v>
      </c>
      <c r="S27" s="82">
        <f t="shared" si="11"/>
        <v>1.3006456255371885</v>
      </c>
      <c r="T27" s="83" t="s">
        <v>161</v>
      </c>
      <c r="U27" s="83" t="s">
        <v>152</v>
      </c>
      <c r="V27" s="83" t="s">
        <v>155</v>
      </c>
      <c r="W27" s="113">
        <f t="shared" si="2"/>
        <v>30</v>
      </c>
      <c r="AA27" s="75" t="s">
        <v>177</v>
      </c>
      <c r="AB27" s="44"/>
    </row>
    <row r="28" spans="1:28" ht="14.25">
      <c r="A28" s="15">
        <f t="shared" si="8"/>
        <v>15</v>
      </c>
      <c r="B28" s="15" t="s">
        <v>208</v>
      </c>
      <c r="C28" s="16">
        <v>2022</v>
      </c>
      <c r="D28" s="75" t="s">
        <v>193</v>
      </c>
      <c r="E28" s="16" t="s">
        <v>209</v>
      </c>
      <c r="F28" s="17">
        <v>33</v>
      </c>
      <c r="G28" s="75" t="s">
        <v>102</v>
      </c>
      <c r="H28" s="75" t="s">
        <v>177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26000</v>
      </c>
      <c r="K28" s="37">
        <v>26000</v>
      </c>
      <c r="L28" s="35">
        <v>0.92</v>
      </c>
      <c r="M28" s="78">
        <f t="shared" si="9"/>
        <v>28260.869565217388</v>
      </c>
      <c r="N28" s="79">
        <f t="shared" si="10"/>
        <v>0.92000000000000015</v>
      </c>
      <c r="O28" s="80">
        <f t="shared" si="0"/>
        <v>0</v>
      </c>
      <c r="P28" s="19">
        <v>3254</v>
      </c>
      <c r="Q28" s="19">
        <v>725</v>
      </c>
      <c r="R28" s="81">
        <f t="shared" si="1"/>
        <v>3979</v>
      </c>
      <c r="S28" s="82">
        <f t="shared" si="11"/>
        <v>1.9083475216421668</v>
      </c>
      <c r="T28" s="83" t="s">
        <v>207</v>
      </c>
      <c r="U28" s="83" t="s">
        <v>152</v>
      </c>
      <c r="V28" s="83" t="s">
        <v>155</v>
      </c>
      <c r="W28" s="113">
        <f t="shared" si="2"/>
        <v>45</v>
      </c>
      <c r="AA28" s="75" t="s">
        <v>185</v>
      </c>
      <c r="AB28" s="44">
        <v>500</v>
      </c>
    </row>
    <row r="29" spans="1:28" ht="14.25">
      <c r="A29" s="15">
        <f t="shared" si="8"/>
        <v>16</v>
      </c>
      <c r="B29" s="15" t="s">
        <v>210</v>
      </c>
      <c r="C29" s="16">
        <v>2023</v>
      </c>
      <c r="D29" s="75" t="s">
        <v>175</v>
      </c>
      <c r="E29" s="16" t="s">
        <v>211</v>
      </c>
      <c r="F29" s="17">
        <v>54</v>
      </c>
      <c r="G29" s="75" t="s">
        <v>102</v>
      </c>
      <c r="H29" s="75" t="s">
        <v>177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31500</v>
      </c>
      <c r="K29" s="37">
        <v>31500</v>
      </c>
      <c r="L29" s="35">
        <v>0.95</v>
      </c>
      <c r="M29" s="78">
        <f t="shared" si="9"/>
        <v>33157.894736842107</v>
      </c>
      <c r="N29" s="79">
        <f t="shared" si="10"/>
        <v>0.95</v>
      </c>
      <c r="O29" s="80">
        <f t="shared" si="0"/>
        <v>0</v>
      </c>
      <c r="P29" s="19">
        <v>921</v>
      </c>
      <c r="Q29" s="19">
        <v>0</v>
      </c>
      <c r="R29" s="81">
        <f t="shared" si="1"/>
        <v>921</v>
      </c>
      <c r="S29" s="82">
        <f t="shared" si="11"/>
        <v>0.2007913927858988</v>
      </c>
      <c r="T29" s="83" t="s">
        <v>167</v>
      </c>
      <c r="U29" s="83" t="s">
        <v>152</v>
      </c>
      <c r="V29" s="83" t="s">
        <v>156</v>
      </c>
      <c r="W29" s="113">
        <f t="shared" si="2"/>
        <v>60</v>
      </c>
      <c r="AA29" s="75" t="s">
        <v>177</v>
      </c>
      <c r="AB29" s="44"/>
    </row>
    <row r="30" spans="1:28" ht="14.25">
      <c r="A30" s="15">
        <f t="shared" si="8"/>
        <v>17</v>
      </c>
      <c r="B30" s="15" t="s">
        <v>212</v>
      </c>
      <c r="C30" s="16">
        <v>2011</v>
      </c>
      <c r="D30" s="75" t="s">
        <v>175</v>
      </c>
      <c r="E30" s="16" t="s">
        <v>211</v>
      </c>
      <c r="F30" s="17">
        <v>42</v>
      </c>
      <c r="G30" s="75" t="s">
        <v>109</v>
      </c>
      <c r="H30" s="75" t="s">
        <v>177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9200</v>
      </c>
      <c r="K30" s="37">
        <v>9452</v>
      </c>
      <c r="L30" s="35">
        <v>0.83</v>
      </c>
      <c r="M30" s="78">
        <f t="shared" si="9"/>
        <v>11084.337349397591</v>
      </c>
      <c r="N30" s="79">
        <f t="shared" si="10"/>
        <v>0.85273478260869562</v>
      </c>
      <c r="O30" s="80">
        <f t="shared" si="0"/>
        <v>-252</v>
      </c>
      <c r="P30" s="19">
        <v>3972</v>
      </c>
      <c r="Q30" s="19">
        <v>530</v>
      </c>
      <c r="R30" s="81">
        <f t="shared" si="1"/>
        <v>4502</v>
      </c>
      <c r="S30" s="82">
        <f t="shared" si="11"/>
        <v>7.0417101147028154</v>
      </c>
      <c r="T30" s="83" t="s">
        <v>158</v>
      </c>
      <c r="U30" s="83" t="s">
        <v>152</v>
      </c>
      <c r="V30" s="83" t="s">
        <v>157</v>
      </c>
      <c r="W30" s="113">
        <f t="shared" si="2"/>
        <v>45</v>
      </c>
      <c r="AA30" s="75" t="s">
        <v>177</v>
      </c>
      <c r="AB30" s="44"/>
    </row>
    <row r="31" spans="1:28" ht="14.25">
      <c r="A31" s="15">
        <f t="shared" si="8"/>
        <v>18</v>
      </c>
      <c r="B31" s="15" t="s">
        <v>215</v>
      </c>
      <c r="C31" s="16">
        <v>2018</v>
      </c>
      <c r="D31" s="75" t="s">
        <v>175</v>
      </c>
      <c r="E31" s="16" t="s">
        <v>191</v>
      </c>
      <c r="F31" s="17">
        <v>14</v>
      </c>
      <c r="G31" s="75" t="s">
        <v>102</v>
      </c>
      <c r="H31" s="75" t="s">
        <v>177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15900</v>
      </c>
      <c r="K31" s="37">
        <v>15804</v>
      </c>
      <c r="L31" s="35">
        <v>0.98</v>
      </c>
      <c r="M31" s="78">
        <f t="shared" si="9"/>
        <v>16224.489795918367</v>
      </c>
      <c r="N31" s="79">
        <f t="shared" si="10"/>
        <v>0.97408301886792459</v>
      </c>
      <c r="O31" s="80">
        <f t="shared" si="0"/>
        <v>96</v>
      </c>
      <c r="P31" s="19">
        <v>3664</v>
      </c>
      <c r="Q31" s="19">
        <v>426</v>
      </c>
      <c r="R31" s="81">
        <f t="shared" si="1"/>
        <v>4090</v>
      </c>
      <c r="S31" s="82">
        <f t="shared" si="11"/>
        <v>8.6632148740880215</v>
      </c>
      <c r="T31" s="83" t="s">
        <v>159</v>
      </c>
      <c r="U31" s="83" t="s">
        <v>152</v>
      </c>
      <c r="V31" s="83" t="s">
        <v>156</v>
      </c>
      <c r="W31" s="113">
        <f t="shared" si="2"/>
        <v>30</v>
      </c>
      <c r="AA31" s="75" t="s">
        <v>177</v>
      </c>
      <c r="AB31" s="44"/>
    </row>
    <row r="32" spans="1:28" ht="14.25">
      <c r="A32" s="15">
        <f t="shared" si="8"/>
        <v>19</v>
      </c>
      <c r="B32" s="15" t="s">
        <v>217</v>
      </c>
      <c r="C32" s="16">
        <v>2018</v>
      </c>
      <c r="D32" s="75" t="s">
        <v>218</v>
      </c>
      <c r="E32" s="16" t="s">
        <v>219</v>
      </c>
      <c r="F32" s="17">
        <v>26</v>
      </c>
      <c r="G32" s="75" t="s">
        <v>102</v>
      </c>
      <c r="H32" s="75" t="s">
        <v>177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35700</v>
      </c>
      <c r="K32" s="37">
        <v>35700</v>
      </c>
      <c r="L32" s="35">
        <v>0.98</v>
      </c>
      <c r="M32" s="78">
        <f t="shared" si="9"/>
        <v>36428.571428571428</v>
      </c>
      <c r="N32" s="79">
        <f t="shared" si="10"/>
        <v>0.98</v>
      </c>
      <c r="O32" s="80">
        <f t="shared" si="0"/>
        <v>0</v>
      </c>
      <c r="P32" s="19">
        <v>1637</v>
      </c>
      <c r="Q32" s="19">
        <v>2501</v>
      </c>
      <c r="R32" s="81">
        <f t="shared" si="1"/>
        <v>4138</v>
      </c>
      <c r="S32" s="82">
        <f t="shared" si="11"/>
        <v>1.6820416468128061</v>
      </c>
      <c r="T32" s="83" t="s">
        <v>207</v>
      </c>
      <c r="U32" s="83" t="s">
        <v>152</v>
      </c>
      <c r="V32" s="83" t="s">
        <v>156</v>
      </c>
      <c r="W32" s="113">
        <f t="shared" si="2"/>
        <v>30</v>
      </c>
      <c r="AA32" s="44" t="s">
        <v>177</v>
      </c>
    </row>
    <row r="33" spans="1:28" ht="14.25">
      <c r="A33" s="15">
        <f t="shared" si="8"/>
        <v>20</v>
      </c>
      <c r="B33" s="15" t="s">
        <v>220</v>
      </c>
      <c r="C33" s="16">
        <v>2021</v>
      </c>
      <c r="D33" s="75" t="s">
        <v>221</v>
      </c>
      <c r="E33" s="16" t="s">
        <v>222</v>
      </c>
      <c r="F33" s="17">
        <v>9</v>
      </c>
      <c r="G33" s="75" t="s">
        <v>223</v>
      </c>
      <c r="H33" s="75" t="s">
        <v>177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22200</v>
      </c>
      <c r="K33" s="37">
        <v>22200</v>
      </c>
      <c r="L33" s="35">
        <v>1.01</v>
      </c>
      <c r="M33" s="78">
        <f t="shared" si="9"/>
        <v>21980.198019801981</v>
      </c>
      <c r="N33" s="79">
        <f t="shared" si="10"/>
        <v>1.01</v>
      </c>
      <c r="O33" s="80">
        <f t="shared" si="0"/>
        <v>0</v>
      </c>
      <c r="P33" s="19">
        <v>5218</v>
      </c>
      <c r="Q33" s="19">
        <v>0</v>
      </c>
      <c r="R33" s="81">
        <f t="shared" si="1"/>
        <v>5218</v>
      </c>
      <c r="S33" s="82">
        <f t="shared" si="11"/>
        <v>12.290660699564244</v>
      </c>
      <c r="T33" s="83" t="s">
        <v>207</v>
      </c>
      <c r="U33" s="83" t="s">
        <v>153</v>
      </c>
      <c r="V33" s="83" t="s">
        <v>156</v>
      </c>
      <c r="W33" s="113">
        <f t="shared" si="2"/>
        <v>30</v>
      </c>
      <c r="AA33" s="75" t="s">
        <v>177</v>
      </c>
      <c r="AB33" s="44"/>
    </row>
    <row r="34" spans="1:28" ht="14.25">
      <c r="A34" s="15">
        <f t="shared" si="8"/>
        <v>21</v>
      </c>
      <c r="B34" s="15" t="s">
        <v>224</v>
      </c>
      <c r="C34" s="16">
        <v>2018</v>
      </c>
      <c r="D34" s="75" t="s">
        <v>193</v>
      </c>
      <c r="E34" s="16" t="s">
        <v>225</v>
      </c>
      <c r="F34" s="17">
        <v>11</v>
      </c>
      <c r="G34" s="75" t="s">
        <v>102</v>
      </c>
      <c r="H34" s="75" t="s">
        <v>177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22700</v>
      </c>
      <c r="K34" s="37">
        <v>23099</v>
      </c>
      <c r="L34" s="35">
        <v>1.01</v>
      </c>
      <c r="M34" s="78">
        <f t="shared" si="9"/>
        <v>22475.247524752474</v>
      </c>
      <c r="N34" s="79">
        <f t="shared" si="10"/>
        <v>1.0277528634361235</v>
      </c>
      <c r="O34" s="80">
        <f t="shared" si="0"/>
        <v>-399</v>
      </c>
      <c r="P34" s="19">
        <v>2174</v>
      </c>
      <c r="Q34" s="19">
        <v>225</v>
      </c>
      <c r="R34" s="81">
        <f t="shared" si="1"/>
        <v>2399</v>
      </c>
      <c r="S34" s="82">
        <f t="shared" si="11"/>
        <v>3.752101661779081</v>
      </c>
      <c r="T34" s="83" t="s">
        <v>172</v>
      </c>
      <c r="U34" s="83" t="s">
        <v>152</v>
      </c>
      <c r="V34" s="83" t="s">
        <v>155</v>
      </c>
      <c r="W34" s="113">
        <f t="shared" si="2"/>
        <v>30</v>
      </c>
      <c r="AA34" s="75" t="s">
        <v>185</v>
      </c>
      <c r="AB34" s="44">
        <v>0</v>
      </c>
    </row>
    <row r="35" spans="1:28" ht="14.25">
      <c r="A35" s="15">
        <f t="shared" si="8"/>
        <v>22</v>
      </c>
      <c r="B35" s="15" t="s">
        <v>226</v>
      </c>
      <c r="C35" s="16">
        <v>2020</v>
      </c>
      <c r="D35" s="75" t="s">
        <v>175</v>
      </c>
      <c r="E35" s="16" t="s">
        <v>191</v>
      </c>
      <c r="F35" s="17">
        <v>25</v>
      </c>
      <c r="G35" s="75" t="s">
        <v>102</v>
      </c>
      <c r="H35" s="75" t="s">
        <v>177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>
        <v>19900</v>
      </c>
      <c r="K35" s="37">
        <v>20000</v>
      </c>
      <c r="L35" s="35">
        <v>0.99</v>
      </c>
      <c r="M35" s="78">
        <f t="shared" si="9"/>
        <v>20101.010101010103</v>
      </c>
      <c r="N35" s="79">
        <f t="shared" si="10"/>
        <v>0.99497487437185927</v>
      </c>
      <c r="O35" s="80">
        <f t="shared" si="0"/>
        <v>-100</v>
      </c>
      <c r="P35" s="19">
        <v>3900</v>
      </c>
      <c r="Q35" s="19">
        <v>540</v>
      </c>
      <c r="R35" s="81">
        <f t="shared" si="1"/>
        <v>4440</v>
      </c>
      <c r="S35" s="82">
        <f t="shared" si="11"/>
        <v>3.9711801242236029</v>
      </c>
      <c r="T35" s="83" t="s">
        <v>227</v>
      </c>
      <c r="U35" s="83" t="s">
        <v>152</v>
      </c>
      <c r="V35" s="83" t="s">
        <v>155</v>
      </c>
      <c r="W35" s="113">
        <f t="shared" si="2"/>
        <v>30</v>
      </c>
      <c r="AA35" s="75" t="s">
        <v>177</v>
      </c>
      <c r="AB35" s="44"/>
    </row>
    <row r="36" spans="1:28" ht="14.25">
      <c r="A36" s="15">
        <f t="shared" si="8"/>
        <v>23</v>
      </c>
      <c r="B36" s="15" t="s">
        <v>228</v>
      </c>
      <c r="C36" s="16">
        <v>2013</v>
      </c>
      <c r="D36" s="75" t="s">
        <v>197</v>
      </c>
      <c r="E36" s="16" t="s">
        <v>229</v>
      </c>
      <c r="F36" s="17">
        <v>10</v>
      </c>
      <c r="G36" s="75" t="s">
        <v>102</v>
      </c>
      <c r="H36" s="75" t="s">
        <v>177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11900</v>
      </c>
      <c r="K36" s="37">
        <v>11547</v>
      </c>
      <c r="L36" s="35">
        <v>0.99</v>
      </c>
      <c r="M36" s="78">
        <f t="shared" si="9"/>
        <v>12020.202020202019</v>
      </c>
      <c r="N36" s="79">
        <f t="shared" si="10"/>
        <v>0.96063277310924378</v>
      </c>
      <c r="O36" s="80">
        <f t="shared" si="0"/>
        <v>353</v>
      </c>
      <c r="P36" s="19">
        <v>3323</v>
      </c>
      <c r="Q36" s="19">
        <v>0</v>
      </c>
      <c r="R36" s="81">
        <f t="shared" si="1"/>
        <v>3323</v>
      </c>
      <c r="S36" s="82">
        <f t="shared" si="11"/>
        <v>14.546206225680933</v>
      </c>
      <c r="T36" s="83" t="s">
        <v>214</v>
      </c>
      <c r="U36" s="83" t="s">
        <v>152</v>
      </c>
      <c r="V36" s="83" t="s">
        <v>155</v>
      </c>
      <c r="W36" s="113">
        <f t="shared" si="2"/>
        <v>30</v>
      </c>
      <c r="AA36" s="75" t="s">
        <v>177</v>
      </c>
      <c r="AB36" s="44"/>
    </row>
    <row r="37" spans="1:28" ht="14.25">
      <c r="A37" s="15">
        <f t="shared" si="8"/>
        <v>24</v>
      </c>
      <c r="B37" s="15" t="s">
        <v>230</v>
      </c>
      <c r="C37" s="16">
        <v>2016</v>
      </c>
      <c r="D37" s="75" t="s">
        <v>218</v>
      </c>
      <c r="E37" s="16" t="s">
        <v>231</v>
      </c>
      <c r="F37" s="17">
        <v>6</v>
      </c>
      <c r="G37" s="75" t="s">
        <v>108</v>
      </c>
      <c r="H37" s="75" t="s">
        <v>177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44995</v>
      </c>
      <c r="K37" s="37">
        <v>44995</v>
      </c>
      <c r="L37" s="35">
        <v>0.99</v>
      </c>
      <c r="M37" s="78">
        <f t="shared" si="9"/>
        <v>45449.494949494947</v>
      </c>
      <c r="N37" s="79">
        <f t="shared" si="10"/>
        <v>0.9900000000000001</v>
      </c>
      <c r="O37" s="80">
        <f t="shared" si="0"/>
        <v>0</v>
      </c>
      <c r="P37" s="19">
        <v>-185</v>
      </c>
      <c r="Q37" s="19">
        <v>0</v>
      </c>
      <c r="R37" s="81">
        <f t="shared" si="1"/>
        <v>-185</v>
      </c>
      <c r="S37" s="82">
        <f t="shared" si="11"/>
        <v>-0.24568393094289509</v>
      </c>
      <c r="T37" s="83" t="s">
        <v>168</v>
      </c>
      <c r="U37" s="83" t="s">
        <v>154</v>
      </c>
      <c r="V37" s="83" t="s">
        <v>156</v>
      </c>
      <c r="W37" s="113">
        <f t="shared" si="2"/>
        <v>30</v>
      </c>
      <c r="AA37" s="75" t="s">
        <v>177</v>
      </c>
      <c r="AB37" s="44"/>
    </row>
    <row r="38" spans="1:28" ht="14.25">
      <c r="A38" s="15">
        <f t="shared" si="8"/>
        <v>25</v>
      </c>
      <c r="B38" s="15" t="s">
        <v>232</v>
      </c>
      <c r="C38" s="16">
        <v>2016</v>
      </c>
      <c r="D38" s="75" t="s">
        <v>54</v>
      </c>
      <c r="E38" s="16" t="s">
        <v>234</v>
      </c>
      <c r="F38" s="17">
        <v>16</v>
      </c>
      <c r="G38" s="75" t="s">
        <v>102</v>
      </c>
      <c r="H38" s="75" t="s">
        <v>177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14000</v>
      </c>
      <c r="K38" s="37">
        <v>11729</v>
      </c>
      <c r="L38" s="35">
        <v>1.03</v>
      </c>
      <c r="M38" s="78">
        <f t="shared" si="9"/>
        <v>13592.233009708738</v>
      </c>
      <c r="N38" s="79">
        <f t="shared" si="10"/>
        <v>0.86291928571428567</v>
      </c>
      <c r="O38" s="80">
        <f t="shared" si="0"/>
        <v>2271</v>
      </c>
      <c r="P38" s="19">
        <v>3880</v>
      </c>
      <c r="Q38" s="19">
        <v>792</v>
      </c>
      <c r="R38" s="81">
        <f t="shared" si="1"/>
        <v>4672</v>
      </c>
      <c r="S38" s="82">
        <f t="shared" si="11"/>
        <v>13.392788890304498</v>
      </c>
      <c r="T38" s="83" t="s">
        <v>235</v>
      </c>
      <c r="U38" s="83" t="s">
        <v>152</v>
      </c>
      <c r="V38" s="83" t="s">
        <v>155</v>
      </c>
      <c r="W38" s="113">
        <f t="shared" si="2"/>
        <v>30</v>
      </c>
      <c r="AA38" s="75" t="s">
        <v>177</v>
      </c>
      <c r="AB38" s="44"/>
    </row>
    <row r="39" spans="1:28" ht="14.25">
      <c r="A39" s="15">
        <f t="shared" si="8"/>
        <v>26</v>
      </c>
      <c r="B39" s="15" t="s">
        <v>236</v>
      </c>
      <c r="C39" s="16">
        <v>2019</v>
      </c>
      <c r="D39" s="75" t="s">
        <v>18</v>
      </c>
      <c r="E39" s="16" t="s">
        <v>237</v>
      </c>
      <c r="F39" s="17">
        <v>80</v>
      </c>
      <c r="G39" s="75" t="s">
        <v>102</v>
      </c>
      <c r="H39" s="75" t="s">
        <v>177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23400</v>
      </c>
      <c r="K39" s="37">
        <v>23400</v>
      </c>
      <c r="L39" s="35">
        <v>0.92</v>
      </c>
      <c r="M39" s="78">
        <f t="shared" si="9"/>
        <v>25434.782608695652</v>
      </c>
      <c r="N39" s="79">
        <f t="shared" si="10"/>
        <v>0.92</v>
      </c>
      <c r="O39" s="80">
        <f t="shared" si="0"/>
        <v>0</v>
      </c>
      <c r="P39" s="19">
        <v>-313</v>
      </c>
      <c r="Q39" s="19">
        <v>3503</v>
      </c>
      <c r="R39" s="81">
        <f t="shared" si="1"/>
        <v>3190</v>
      </c>
      <c r="S39" s="82">
        <f t="shared" si="11"/>
        <v>0.60536414624889301</v>
      </c>
      <c r="T39" s="83" t="s">
        <v>238</v>
      </c>
      <c r="U39" s="83" t="s">
        <v>152</v>
      </c>
      <c r="V39" s="83" t="s">
        <v>155</v>
      </c>
      <c r="W39" s="113">
        <f t="shared" si="2"/>
        <v>90</v>
      </c>
      <c r="AA39" s="75" t="s">
        <v>177</v>
      </c>
      <c r="AB39" s="44"/>
    </row>
    <row r="40" spans="1:28" ht="14.25">
      <c r="A40" s="15">
        <f t="shared" si="8"/>
        <v>27</v>
      </c>
      <c r="B40" s="15" t="s">
        <v>239</v>
      </c>
      <c r="C40" s="16">
        <v>2020</v>
      </c>
      <c r="D40" s="75" t="s">
        <v>240</v>
      </c>
      <c r="E40" s="16" t="s">
        <v>241</v>
      </c>
      <c r="F40" s="17">
        <v>62</v>
      </c>
      <c r="G40" s="75" t="s">
        <v>108</v>
      </c>
      <c r="H40" s="75" t="s">
        <v>177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18200</v>
      </c>
      <c r="K40" s="37">
        <v>17146</v>
      </c>
      <c r="L40" s="35">
        <v>0.92</v>
      </c>
      <c r="M40" s="78">
        <f t="shared" si="9"/>
        <v>19782.608695652172</v>
      </c>
      <c r="N40" s="79">
        <f t="shared" si="10"/>
        <v>0.86672087912087925</v>
      </c>
      <c r="O40" s="80">
        <f t="shared" si="0"/>
        <v>1054</v>
      </c>
      <c r="P40" s="19">
        <v>-434</v>
      </c>
      <c r="Q40" s="19">
        <v>2099</v>
      </c>
      <c r="R40" s="81">
        <f t="shared" si="1"/>
        <v>1665</v>
      </c>
      <c r="S40" s="82">
        <f t="shared" si="11"/>
        <v>0.54992843774083455</v>
      </c>
      <c r="T40" s="83" t="s">
        <v>227</v>
      </c>
      <c r="U40" s="83" t="s">
        <v>152</v>
      </c>
      <c r="V40" s="83" t="s">
        <v>155</v>
      </c>
      <c r="W40" s="113">
        <f t="shared" si="2"/>
        <v>90</v>
      </c>
      <c r="AA40" s="75" t="s">
        <v>185</v>
      </c>
      <c r="AB40" s="44">
        <v>0</v>
      </c>
    </row>
    <row r="41" spans="1:28" ht="14.25">
      <c r="A41" s="15">
        <f t="shared" si="8"/>
        <v>28</v>
      </c>
      <c r="B41" s="15" t="s">
        <v>242</v>
      </c>
      <c r="C41" s="16">
        <v>2023</v>
      </c>
      <c r="D41" s="75" t="s">
        <v>175</v>
      </c>
      <c r="E41" s="16" t="s">
        <v>243</v>
      </c>
      <c r="F41" s="17">
        <v>18</v>
      </c>
      <c r="G41" s="75" t="s">
        <v>102</v>
      </c>
      <c r="H41" s="75" t="s">
        <v>107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19500</v>
      </c>
      <c r="K41" s="37">
        <v>20530</v>
      </c>
      <c r="L41" s="35">
        <v>0.94</v>
      </c>
      <c r="M41" s="78">
        <f t="shared" si="9"/>
        <v>20744.680851063829</v>
      </c>
      <c r="N41" s="79">
        <f t="shared" si="10"/>
        <v>0.98965128205128206</v>
      </c>
      <c r="O41" s="80">
        <f t="shared" si="0"/>
        <v>-1030</v>
      </c>
      <c r="P41" s="19">
        <v>4349</v>
      </c>
      <c r="Q41" s="19">
        <v>4158</v>
      </c>
      <c r="R41" s="81">
        <f t="shared" si="1"/>
        <v>8507</v>
      </c>
      <c r="S41" s="82">
        <f t="shared" si="11"/>
        <v>10.514801310178605</v>
      </c>
      <c r="T41" s="83" t="s">
        <v>235</v>
      </c>
      <c r="U41" s="83" t="s">
        <v>152</v>
      </c>
      <c r="V41" s="83" t="s">
        <v>155</v>
      </c>
      <c r="W41" s="113">
        <f t="shared" si="2"/>
        <v>30</v>
      </c>
      <c r="AA41" s="75" t="s">
        <v>185</v>
      </c>
      <c r="AB41" s="44">
        <v>-40</v>
      </c>
    </row>
    <row r="42" spans="1:28" ht="14.25">
      <c r="A42" s="15">
        <f t="shared" si="8"/>
        <v>29</v>
      </c>
      <c r="B42" s="15" t="s">
        <v>244</v>
      </c>
      <c r="C42" s="16">
        <v>2016</v>
      </c>
      <c r="D42" s="75" t="s">
        <v>218</v>
      </c>
      <c r="E42" s="16" t="s">
        <v>245</v>
      </c>
      <c r="F42" s="17">
        <v>9</v>
      </c>
      <c r="G42" s="75" t="s">
        <v>102</v>
      </c>
      <c r="H42" s="75" t="s">
        <v>177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15400</v>
      </c>
      <c r="K42" s="37">
        <v>15400</v>
      </c>
      <c r="L42" s="35">
        <v>1.01</v>
      </c>
      <c r="M42" s="78">
        <f t="shared" si="9"/>
        <v>15247.524752475247</v>
      </c>
      <c r="N42" s="79">
        <f t="shared" si="10"/>
        <v>1.01</v>
      </c>
      <c r="O42" s="80">
        <f t="shared" si="0"/>
        <v>0</v>
      </c>
      <c r="P42" s="19">
        <v>4468</v>
      </c>
      <c r="Q42" s="19">
        <v>0</v>
      </c>
      <c r="R42" s="81">
        <f t="shared" si="1"/>
        <v>4468</v>
      </c>
      <c r="S42" s="82">
        <f t="shared" si="11"/>
        <v>16.348335162824736</v>
      </c>
      <c r="T42" s="83" t="s">
        <v>214</v>
      </c>
      <c r="U42" s="83" t="s">
        <v>152</v>
      </c>
      <c r="V42" s="83" t="s">
        <v>155</v>
      </c>
      <c r="W42" s="113">
        <f t="shared" si="2"/>
        <v>30</v>
      </c>
      <c r="AA42" s="75" t="s">
        <v>177</v>
      </c>
      <c r="AB42" s="44"/>
    </row>
    <row r="43" spans="1:28" ht="14.25">
      <c r="A43" s="15">
        <f t="shared" si="8"/>
        <v>30</v>
      </c>
      <c r="B43" s="15" t="s">
        <v>246</v>
      </c>
      <c r="C43" s="16">
        <v>2016</v>
      </c>
      <c r="D43" s="75" t="s">
        <v>175</v>
      </c>
      <c r="E43" s="16" t="s">
        <v>247</v>
      </c>
      <c r="F43" s="17">
        <v>11</v>
      </c>
      <c r="G43" s="75" t="s">
        <v>102</v>
      </c>
      <c r="H43" s="75" t="s">
        <v>177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13900</v>
      </c>
      <c r="K43" s="37">
        <v>13901</v>
      </c>
      <c r="L43" s="35">
        <v>1.02</v>
      </c>
      <c r="M43" s="78">
        <f t="shared" si="9"/>
        <v>13627.450980392157</v>
      </c>
      <c r="N43" s="79">
        <f t="shared" si="10"/>
        <v>1.0200733812949641</v>
      </c>
      <c r="O43" s="80">
        <f t="shared" si="0"/>
        <v>-1</v>
      </c>
      <c r="P43" s="19">
        <v>6194</v>
      </c>
      <c r="Q43" s="19">
        <v>1983</v>
      </c>
      <c r="R43" s="81">
        <f t="shared" si="1"/>
        <v>8177</v>
      </c>
      <c r="S43" s="82">
        <f t="shared" si="11"/>
        <v>34.723097066421317</v>
      </c>
      <c r="T43" s="83" t="s">
        <v>248</v>
      </c>
      <c r="U43" s="83" t="s">
        <v>152</v>
      </c>
      <c r="V43" s="83" t="s">
        <v>155</v>
      </c>
      <c r="W43" s="113">
        <f t="shared" si="2"/>
        <v>30</v>
      </c>
      <c r="AA43" s="75" t="s">
        <v>177</v>
      </c>
      <c r="AB43" s="44"/>
    </row>
    <row r="44" spans="1:28" ht="14.25">
      <c r="A44" s="15">
        <f t="shared" si="8"/>
        <v>31</v>
      </c>
      <c r="B44" s="15" t="s">
        <v>249</v>
      </c>
      <c r="C44" s="16">
        <v>2022</v>
      </c>
      <c r="D44" s="75" t="s">
        <v>175</v>
      </c>
      <c r="E44" s="16" t="s">
        <v>211</v>
      </c>
      <c r="F44" s="17">
        <v>58</v>
      </c>
      <c r="G44" s="75" t="s">
        <v>102</v>
      </c>
      <c r="H44" s="75" t="s">
        <v>185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23400</v>
      </c>
      <c r="K44" s="37">
        <v>24200</v>
      </c>
      <c r="L44" s="35">
        <v>0.96</v>
      </c>
      <c r="M44" s="78">
        <f t="shared" si="9"/>
        <v>24375</v>
      </c>
      <c r="N44" s="79">
        <f t="shared" si="10"/>
        <v>0.99282051282051287</v>
      </c>
      <c r="O44" s="80">
        <f t="shared" si="0"/>
        <v>-800</v>
      </c>
      <c r="P44" s="19">
        <v>-1196</v>
      </c>
      <c r="Q44" s="19">
        <v>2850</v>
      </c>
      <c r="R44" s="81">
        <f t="shared" si="1"/>
        <v>1654</v>
      </c>
      <c r="S44" s="82">
        <f t="shared" si="11"/>
        <v>0.40424503451534588</v>
      </c>
      <c r="T44" s="83" t="s">
        <v>216</v>
      </c>
      <c r="U44" s="83" t="s">
        <v>152</v>
      </c>
      <c r="V44" s="83" t="s">
        <v>155</v>
      </c>
      <c r="W44" s="113">
        <f t="shared" si="2"/>
        <v>60</v>
      </c>
      <c r="AA44" s="75" t="s">
        <v>185</v>
      </c>
      <c r="AB44" s="44">
        <v>0</v>
      </c>
    </row>
    <row r="45" spans="1:28" ht="14.25">
      <c r="A45" s="15">
        <f t="shared" si="8"/>
        <v>32</v>
      </c>
      <c r="B45" s="15" t="s">
        <v>250</v>
      </c>
      <c r="C45" s="16">
        <v>2022</v>
      </c>
      <c r="D45" s="75" t="s">
        <v>175</v>
      </c>
      <c r="E45" s="16" t="s">
        <v>196</v>
      </c>
      <c r="F45" s="17">
        <v>32</v>
      </c>
      <c r="G45" s="75" t="s">
        <v>102</v>
      </c>
      <c r="H45" s="75" t="s">
        <v>177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27000</v>
      </c>
      <c r="K45" s="37">
        <v>26601</v>
      </c>
      <c r="L45" s="35">
        <v>0.95</v>
      </c>
      <c r="M45" s="78">
        <f t="shared" si="9"/>
        <v>28421.05263157895</v>
      </c>
      <c r="N45" s="79">
        <f t="shared" si="10"/>
        <v>0.93596111111111102</v>
      </c>
      <c r="O45" s="80">
        <f t="shared" si="0"/>
        <v>399</v>
      </c>
      <c r="P45" s="19">
        <v>-385</v>
      </c>
      <c r="Q45" s="19">
        <v>1273</v>
      </c>
      <c r="R45" s="81">
        <f t="shared" si="1"/>
        <v>888</v>
      </c>
      <c r="S45" s="82">
        <f t="shared" si="11"/>
        <v>0.37019195138219818</v>
      </c>
      <c r="T45" s="83" t="s">
        <v>161</v>
      </c>
      <c r="U45" s="83" t="s">
        <v>152</v>
      </c>
      <c r="V45" s="83" t="s">
        <v>155</v>
      </c>
      <c r="W45" s="113">
        <f t="shared" ref="W45:W76" si="12">IF(AND(F45&gt;0,F45&lt;=30),30,IF(AND(F45&gt;=31,F45&lt;=45),45,IF(AND(F45&gt;=46,F45&lt;=60),60,IF(AND(F45&gt;=61,F45&lt;=90),90,IF(F45&gt;=91,91,0)))))</f>
        <v>45</v>
      </c>
      <c r="AA45" s="75" t="s">
        <v>177</v>
      </c>
      <c r="AB45" s="44"/>
    </row>
    <row r="46" spans="1:28" ht="14.25">
      <c r="A46" s="15">
        <f t="shared" si="8"/>
        <v>33</v>
      </c>
      <c r="B46" s="15" t="s">
        <v>251</v>
      </c>
      <c r="C46" s="16">
        <v>2017</v>
      </c>
      <c r="D46" s="75" t="s">
        <v>175</v>
      </c>
      <c r="E46" s="16" t="s">
        <v>211</v>
      </c>
      <c r="F46" s="17">
        <v>75</v>
      </c>
      <c r="G46" s="75" t="s">
        <v>102</v>
      </c>
      <c r="H46" s="75" t="s">
        <v>177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7">
        <v>12100</v>
      </c>
      <c r="K46" s="37">
        <v>12100</v>
      </c>
      <c r="L46" s="35">
        <v>0.92</v>
      </c>
      <c r="M46" s="78">
        <f t="shared" si="9"/>
        <v>13152.173913043478</v>
      </c>
      <c r="N46" s="79">
        <f t="shared" si="10"/>
        <v>0.92</v>
      </c>
      <c r="O46" s="80">
        <f t="shared" si="0"/>
        <v>0</v>
      </c>
      <c r="P46" s="19">
        <v>1998</v>
      </c>
      <c r="Q46" s="19">
        <v>0</v>
      </c>
      <c r="R46" s="81">
        <f t="shared" si="1"/>
        <v>1998</v>
      </c>
      <c r="S46" s="82">
        <f t="shared" si="11"/>
        <v>0.94935656305682037</v>
      </c>
      <c r="T46" s="83" t="s">
        <v>216</v>
      </c>
      <c r="U46" s="83" t="s">
        <v>152</v>
      </c>
      <c r="V46" s="83" t="s">
        <v>155</v>
      </c>
      <c r="W46" s="113">
        <f t="shared" si="12"/>
        <v>90</v>
      </c>
      <c r="AA46" s="75" t="s">
        <v>177</v>
      </c>
      <c r="AB46" s="44"/>
    </row>
    <row r="47" spans="1:28" ht="14.25">
      <c r="A47" s="15">
        <f t="shared" si="8"/>
        <v>34</v>
      </c>
      <c r="B47" s="15" t="s">
        <v>252</v>
      </c>
      <c r="C47" s="16">
        <v>2021</v>
      </c>
      <c r="D47" s="75" t="s">
        <v>175</v>
      </c>
      <c r="E47" s="16" t="s">
        <v>189</v>
      </c>
      <c r="F47" s="17">
        <v>37</v>
      </c>
      <c r="G47" s="75" t="s">
        <v>109</v>
      </c>
      <c r="H47" s="75" t="s">
        <v>185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19900</v>
      </c>
      <c r="K47" s="37">
        <v>21299</v>
      </c>
      <c r="L47" s="35">
        <v>0.95</v>
      </c>
      <c r="M47" s="78">
        <f t="shared" si="9"/>
        <v>20947.368421052633</v>
      </c>
      <c r="N47" s="79">
        <f t="shared" si="10"/>
        <v>1.016786432160804</v>
      </c>
      <c r="O47" s="80">
        <f t="shared" si="0"/>
        <v>-1399</v>
      </c>
      <c r="P47" s="19">
        <v>1923</v>
      </c>
      <c r="Q47" s="19">
        <v>2456</v>
      </c>
      <c r="R47" s="81">
        <f t="shared" si="1"/>
        <v>4379</v>
      </c>
      <c r="S47" s="82">
        <f t="shared" si="11"/>
        <v>2.1989309706072713</v>
      </c>
      <c r="T47" s="83" t="s">
        <v>253</v>
      </c>
      <c r="U47" s="83" t="s">
        <v>152</v>
      </c>
      <c r="V47" s="83" t="s">
        <v>155</v>
      </c>
      <c r="W47" s="113">
        <f t="shared" si="12"/>
        <v>45</v>
      </c>
      <c r="AA47" s="75" t="s">
        <v>185</v>
      </c>
      <c r="AB47" s="44">
        <v>0</v>
      </c>
    </row>
    <row r="48" spans="1:28" ht="14.25">
      <c r="A48" s="15">
        <f t="shared" si="8"/>
        <v>35</v>
      </c>
      <c r="B48" s="15" t="s">
        <v>254</v>
      </c>
      <c r="C48" s="16">
        <v>2018</v>
      </c>
      <c r="D48" s="75" t="s">
        <v>255</v>
      </c>
      <c r="E48" s="16" t="s">
        <v>256</v>
      </c>
      <c r="F48" s="17">
        <v>28</v>
      </c>
      <c r="G48" s="75" t="s">
        <v>109</v>
      </c>
      <c r="H48" s="75" t="s">
        <v>177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18700</v>
      </c>
      <c r="K48" s="37">
        <v>18700</v>
      </c>
      <c r="L48" s="35">
        <v>0.97</v>
      </c>
      <c r="M48" s="78">
        <f t="shared" si="9"/>
        <v>19278.350515463917</v>
      </c>
      <c r="N48" s="79">
        <f t="shared" si="10"/>
        <v>0.97</v>
      </c>
      <c r="O48" s="80">
        <f t="shared" si="0"/>
        <v>0</v>
      </c>
      <c r="P48" s="19">
        <v>2082</v>
      </c>
      <c r="Q48" s="19">
        <v>823</v>
      </c>
      <c r="R48" s="81">
        <f t="shared" si="1"/>
        <v>2905</v>
      </c>
      <c r="S48" s="82">
        <f t="shared" si="11"/>
        <v>2.2475628836201711</v>
      </c>
      <c r="T48" s="83" t="s">
        <v>235</v>
      </c>
      <c r="U48" s="83" t="s">
        <v>152</v>
      </c>
      <c r="V48" s="83" t="s">
        <v>155</v>
      </c>
      <c r="W48" s="113">
        <f t="shared" si="12"/>
        <v>30</v>
      </c>
      <c r="AA48" s="75" t="s">
        <v>177</v>
      </c>
      <c r="AB48" s="44"/>
    </row>
    <row r="49" spans="1:28" ht="14.25">
      <c r="A49" s="15">
        <f t="shared" si="8"/>
        <v>36</v>
      </c>
      <c r="B49" s="15" t="s">
        <v>257</v>
      </c>
      <c r="C49" s="16">
        <v>2018</v>
      </c>
      <c r="D49" s="75" t="s">
        <v>240</v>
      </c>
      <c r="E49" s="16" t="s">
        <v>241</v>
      </c>
      <c r="F49" s="17">
        <v>24</v>
      </c>
      <c r="G49" s="75" t="s">
        <v>102</v>
      </c>
      <c r="H49" s="75" t="s">
        <v>177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12200</v>
      </c>
      <c r="K49" s="37">
        <v>12500</v>
      </c>
      <c r="L49" s="35">
        <v>0.98</v>
      </c>
      <c r="M49" s="78">
        <f t="shared" si="9"/>
        <v>12448.979591836734</v>
      </c>
      <c r="N49" s="79">
        <f t="shared" si="10"/>
        <v>1.0040983606557377</v>
      </c>
      <c r="O49" s="80">
        <f t="shared" si="0"/>
        <v>-300</v>
      </c>
      <c r="P49" s="19">
        <v>1827</v>
      </c>
      <c r="Q49" s="19">
        <v>885</v>
      </c>
      <c r="R49" s="81">
        <f t="shared" si="1"/>
        <v>2712</v>
      </c>
      <c r="S49" s="82">
        <f t="shared" si="11"/>
        <v>3.8114869296355289</v>
      </c>
      <c r="T49" s="83" t="s">
        <v>216</v>
      </c>
      <c r="U49" s="83" t="s">
        <v>152</v>
      </c>
      <c r="V49" s="83" t="s">
        <v>155</v>
      </c>
      <c r="W49" s="113">
        <f t="shared" si="12"/>
        <v>30</v>
      </c>
      <c r="AA49" s="75" t="s">
        <v>185</v>
      </c>
      <c r="AB49" s="44">
        <v>-199</v>
      </c>
    </row>
    <row r="50" spans="1:28" ht="14.25">
      <c r="A50" s="15">
        <f t="shared" si="8"/>
        <v>37</v>
      </c>
      <c r="B50" s="15" t="s">
        <v>258</v>
      </c>
      <c r="C50" s="16">
        <v>2020</v>
      </c>
      <c r="D50" s="75" t="s">
        <v>175</v>
      </c>
      <c r="E50" s="16" t="s">
        <v>189</v>
      </c>
      <c r="F50" s="17">
        <v>74</v>
      </c>
      <c r="G50" s="75" t="s">
        <v>108</v>
      </c>
      <c r="H50" s="75" t="s">
        <v>185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17000</v>
      </c>
      <c r="K50" s="37">
        <v>18399</v>
      </c>
      <c r="L50" s="35">
        <v>0.93</v>
      </c>
      <c r="M50" s="78">
        <f t="shared" si="9"/>
        <v>18279.569892473119</v>
      </c>
      <c r="N50" s="79">
        <f t="shared" si="10"/>
        <v>1.0065335294117648</v>
      </c>
      <c r="O50" s="80">
        <f t="shared" si="0"/>
        <v>-1399</v>
      </c>
      <c r="P50" s="19">
        <v>2626</v>
      </c>
      <c r="Q50" s="19">
        <v>1858</v>
      </c>
      <c r="R50" s="81">
        <f t="shared" si="1"/>
        <v>4484</v>
      </c>
      <c r="S50" s="82">
        <f t="shared" si="11"/>
        <v>1.3829996864295981</v>
      </c>
      <c r="T50" s="83" t="s">
        <v>161</v>
      </c>
      <c r="U50" s="83" t="s">
        <v>153</v>
      </c>
      <c r="V50" s="83" t="s">
        <v>155</v>
      </c>
      <c r="W50" s="113">
        <f t="shared" si="12"/>
        <v>90</v>
      </c>
      <c r="AA50" s="75" t="s">
        <v>177</v>
      </c>
      <c r="AB50" s="44"/>
    </row>
    <row r="51" spans="1:28" ht="14.25">
      <c r="A51" s="15">
        <f t="shared" si="8"/>
        <v>38</v>
      </c>
      <c r="B51" s="15" t="s">
        <v>259</v>
      </c>
      <c r="C51" s="16">
        <v>2021</v>
      </c>
      <c r="D51" s="75" t="s">
        <v>218</v>
      </c>
      <c r="E51" s="16" t="s">
        <v>260</v>
      </c>
      <c r="F51" s="17">
        <v>28</v>
      </c>
      <c r="G51" s="75" t="s">
        <v>102</v>
      </c>
      <c r="H51" s="75" t="s">
        <v>177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18700</v>
      </c>
      <c r="K51" s="37">
        <v>17600</v>
      </c>
      <c r="L51" s="35">
        <v>0.96</v>
      </c>
      <c r="M51" s="78">
        <f t="shared" si="9"/>
        <v>19479.166666666668</v>
      </c>
      <c r="N51" s="79">
        <f t="shared" si="10"/>
        <v>0.9035294117647058</v>
      </c>
      <c r="O51" s="80">
        <f t="shared" si="0"/>
        <v>1100</v>
      </c>
      <c r="P51" s="19">
        <v>1299</v>
      </c>
      <c r="Q51" s="19">
        <v>601</v>
      </c>
      <c r="R51" s="81">
        <f t="shared" si="1"/>
        <v>1900</v>
      </c>
      <c r="S51" s="82">
        <f t="shared" si="11"/>
        <v>1.4985934254690774</v>
      </c>
      <c r="T51" s="83" t="s">
        <v>214</v>
      </c>
      <c r="U51" s="83" t="s">
        <v>152</v>
      </c>
      <c r="V51" s="83" t="s">
        <v>155</v>
      </c>
      <c r="W51" s="113">
        <f t="shared" si="12"/>
        <v>30</v>
      </c>
      <c r="AA51" s="75" t="s">
        <v>177</v>
      </c>
      <c r="AB51" s="44"/>
    </row>
    <row r="52" spans="1:28" ht="14.25">
      <c r="A52" s="15">
        <f t="shared" si="8"/>
        <v>39</v>
      </c>
      <c r="B52" s="15" t="s">
        <v>261</v>
      </c>
      <c r="C52" s="16">
        <v>2021</v>
      </c>
      <c r="D52" s="75" t="s">
        <v>233</v>
      </c>
      <c r="E52" s="16" t="s">
        <v>262</v>
      </c>
      <c r="F52" s="17">
        <v>50</v>
      </c>
      <c r="G52" s="75" t="s">
        <v>102</v>
      </c>
      <c r="H52" s="75" t="s">
        <v>177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29200</v>
      </c>
      <c r="K52" s="37">
        <v>28700</v>
      </c>
      <c r="L52" s="35">
        <v>0.95</v>
      </c>
      <c r="M52" s="78">
        <f t="shared" si="9"/>
        <v>30736.84210526316</v>
      </c>
      <c r="N52" s="79">
        <f t="shared" si="10"/>
        <v>0.93373287671232874</v>
      </c>
      <c r="O52" s="80">
        <f t="shared" si="0"/>
        <v>500</v>
      </c>
      <c r="P52" s="19">
        <v>1864</v>
      </c>
      <c r="Q52" s="19">
        <v>1106</v>
      </c>
      <c r="R52" s="81">
        <f t="shared" si="1"/>
        <v>2970</v>
      </c>
      <c r="S52" s="82">
        <f t="shared" si="11"/>
        <v>0.79684006558354459</v>
      </c>
      <c r="T52" s="83" t="s">
        <v>214</v>
      </c>
      <c r="U52" s="83" t="s">
        <v>152</v>
      </c>
      <c r="V52" s="83" t="s">
        <v>155</v>
      </c>
      <c r="W52" s="113">
        <f t="shared" si="12"/>
        <v>60</v>
      </c>
      <c r="AA52" s="75" t="s">
        <v>177</v>
      </c>
      <c r="AB52" s="44"/>
    </row>
    <row r="53" spans="1:28" ht="14.25">
      <c r="A53" s="15">
        <f t="shared" si="8"/>
        <v>40</v>
      </c>
      <c r="B53" s="15" t="s">
        <v>263</v>
      </c>
      <c r="C53" s="16">
        <v>2019</v>
      </c>
      <c r="D53" s="75" t="s">
        <v>264</v>
      </c>
      <c r="E53" s="16" t="s">
        <v>265</v>
      </c>
      <c r="F53" s="17">
        <v>72</v>
      </c>
      <c r="G53" s="75" t="s">
        <v>102</v>
      </c>
      <c r="H53" s="75" t="s">
        <v>177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No</v>
      </c>
      <c r="J53" s="37">
        <v>28400</v>
      </c>
      <c r="K53" s="37">
        <v>28400</v>
      </c>
      <c r="L53" s="35">
        <v>0.9</v>
      </c>
      <c r="M53" s="78">
        <f t="shared" si="9"/>
        <v>31555.555555555555</v>
      </c>
      <c r="N53" s="79">
        <f t="shared" si="10"/>
        <v>0.9</v>
      </c>
      <c r="O53" s="80">
        <f t="shared" si="0"/>
        <v>0</v>
      </c>
      <c r="P53" s="19">
        <v>-278</v>
      </c>
      <c r="Q53" s="19">
        <v>2914</v>
      </c>
      <c r="R53" s="81">
        <f t="shared" si="1"/>
        <v>2636</v>
      </c>
      <c r="S53" s="82">
        <f t="shared" si="11"/>
        <v>0.45958574517051398</v>
      </c>
      <c r="T53" s="83" t="s">
        <v>207</v>
      </c>
      <c r="U53" s="83" t="s">
        <v>152</v>
      </c>
      <c r="V53" s="83" t="s">
        <v>155</v>
      </c>
      <c r="W53" s="113">
        <f t="shared" si="12"/>
        <v>90</v>
      </c>
      <c r="AA53" s="75" t="s">
        <v>177</v>
      </c>
      <c r="AB53" s="44"/>
    </row>
    <row r="54" spans="1:28" ht="14.25">
      <c r="A54" s="15">
        <f t="shared" si="8"/>
        <v>41</v>
      </c>
      <c r="B54" s="15" t="s">
        <v>266</v>
      </c>
      <c r="C54" s="16">
        <v>2012</v>
      </c>
      <c r="D54" s="75" t="s">
        <v>197</v>
      </c>
      <c r="E54" s="16" t="s">
        <v>267</v>
      </c>
      <c r="F54" s="17">
        <v>11</v>
      </c>
      <c r="G54" s="75" t="s">
        <v>102</v>
      </c>
      <c r="H54" s="75" t="s">
        <v>177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8500</v>
      </c>
      <c r="K54" s="37">
        <v>9300</v>
      </c>
      <c r="L54" s="35">
        <v>1.1000000000000001</v>
      </c>
      <c r="M54" s="78">
        <f t="shared" si="9"/>
        <v>7727.272727272727</v>
      </c>
      <c r="N54" s="79">
        <f t="shared" si="10"/>
        <v>1.203529411764706</v>
      </c>
      <c r="O54" s="80">
        <f t="shared" si="0"/>
        <v>-800</v>
      </c>
      <c r="P54" s="19">
        <v>5787</v>
      </c>
      <c r="Q54" s="19">
        <v>0</v>
      </c>
      <c r="R54" s="81">
        <f t="shared" si="1"/>
        <v>5787</v>
      </c>
      <c r="S54" s="82">
        <f t="shared" si="11"/>
        <v>53.911963356882232</v>
      </c>
      <c r="T54" s="83" t="s">
        <v>207</v>
      </c>
      <c r="U54" s="83" t="s">
        <v>152</v>
      </c>
      <c r="V54" s="83" t="s">
        <v>155</v>
      </c>
      <c r="W54" s="113">
        <f t="shared" si="12"/>
        <v>30</v>
      </c>
      <c r="AA54" s="75" t="s">
        <v>177</v>
      </c>
      <c r="AB54" s="44"/>
    </row>
    <row r="55" spans="1:28" ht="14.25">
      <c r="A55" s="15">
        <f t="shared" si="8"/>
        <v>42</v>
      </c>
      <c r="B55" s="15" t="s">
        <v>268</v>
      </c>
      <c r="C55" s="16">
        <v>2015</v>
      </c>
      <c r="D55" s="75" t="s">
        <v>218</v>
      </c>
      <c r="E55" s="16" t="s">
        <v>269</v>
      </c>
      <c r="F55" s="17">
        <v>29</v>
      </c>
      <c r="G55" s="75" t="s">
        <v>102</v>
      </c>
      <c r="H55" s="75" t="s">
        <v>177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7">
        <v>15200</v>
      </c>
      <c r="K55" s="37">
        <v>15230</v>
      </c>
      <c r="L55" s="35">
        <v>0.96</v>
      </c>
      <c r="M55" s="78">
        <f t="shared" si="9"/>
        <v>15833.333333333334</v>
      </c>
      <c r="N55" s="79">
        <f t="shared" si="10"/>
        <v>0.96189473684210525</v>
      </c>
      <c r="O55" s="80">
        <f t="shared" si="0"/>
        <v>-30</v>
      </c>
      <c r="P55" s="19">
        <v>3135</v>
      </c>
      <c r="Q55" s="19">
        <v>1100</v>
      </c>
      <c r="R55" s="81">
        <f t="shared" si="1"/>
        <v>4235</v>
      </c>
      <c r="S55" s="82">
        <f t="shared" si="11"/>
        <v>4.3466237117076014</v>
      </c>
      <c r="T55" s="83" t="s">
        <v>161</v>
      </c>
      <c r="U55" s="83" t="s">
        <v>152</v>
      </c>
      <c r="V55" s="83" t="s">
        <v>155</v>
      </c>
      <c r="W55" s="113">
        <f t="shared" si="12"/>
        <v>30</v>
      </c>
      <c r="AA55" s="75" t="s">
        <v>185</v>
      </c>
      <c r="AB55" s="44">
        <v>0</v>
      </c>
    </row>
    <row r="56" spans="1:28" ht="14.25">
      <c r="A56" s="15">
        <f t="shared" si="8"/>
        <v>43</v>
      </c>
      <c r="B56" s="15" t="s">
        <v>270</v>
      </c>
      <c r="C56" s="16">
        <v>2017</v>
      </c>
      <c r="D56" s="75" t="s">
        <v>175</v>
      </c>
      <c r="E56" s="16" t="s">
        <v>211</v>
      </c>
      <c r="F56" s="17">
        <v>18</v>
      </c>
      <c r="G56" s="75" t="s">
        <v>102</v>
      </c>
      <c r="H56" s="75" t="s">
        <v>177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>
        <v>17000</v>
      </c>
      <c r="K56" s="37">
        <v>17000</v>
      </c>
      <c r="L56" s="35">
        <v>1.01</v>
      </c>
      <c r="M56" s="78">
        <f t="shared" si="9"/>
        <v>16831.683168316831</v>
      </c>
      <c r="N56" s="79">
        <f t="shared" si="10"/>
        <v>1.01</v>
      </c>
      <c r="O56" s="80">
        <f t="shared" si="0"/>
        <v>0</v>
      </c>
      <c r="P56" s="19">
        <v>2269</v>
      </c>
      <c r="Q56" s="19">
        <v>392</v>
      </c>
      <c r="R56" s="81">
        <f t="shared" si="1"/>
        <v>2661</v>
      </c>
      <c r="S56" s="82">
        <f t="shared" si="11"/>
        <v>3.6127893557803272</v>
      </c>
      <c r="T56" s="83" t="s">
        <v>214</v>
      </c>
      <c r="U56" s="83" t="s">
        <v>152</v>
      </c>
      <c r="V56" s="83" t="s">
        <v>155</v>
      </c>
      <c r="W56" s="113">
        <f t="shared" si="12"/>
        <v>30</v>
      </c>
      <c r="AA56" s="75" t="s">
        <v>177</v>
      </c>
      <c r="AB56" s="44"/>
    </row>
    <row r="57" spans="1:28" ht="14.25">
      <c r="A57" s="15">
        <f t="shared" si="8"/>
        <v>44</v>
      </c>
      <c r="B57" s="15" t="s">
        <v>271</v>
      </c>
      <c r="C57" s="16">
        <v>2021</v>
      </c>
      <c r="D57" s="75" t="s">
        <v>175</v>
      </c>
      <c r="E57" s="16" t="s">
        <v>206</v>
      </c>
      <c r="F57" s="17">
        <v>37</v>
      </c>
      <c r="G57" s="75" t="s">
        <v>102</v>
      </c>
      <c r="H57" s="75" t="s">
        <v>177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23500</v>
      </c>
      <c r="K57" s="37">
        <v>22500</v>
      </c>
      <c r="L57" s="35">
        <v>0.93</v>
      </c>
      <c r="M57" s="78">
        <f t="shared" si="9"/>
        <v>25268.817204301075</v>
      </c>
      <c r="N57" s="79">
        <f t="shared" si="10"/>
        <v>0.8904255319148936</v>
      </c>
      <c r="O57" s="80">
        <f t="shared" si="0"/>
        <v>1000</v>
      </c>
      <c r="P57" s="19">
        <v>-736</v>
      </c>
      <c r="Q57" s="19">
        <v>3687</v>
      </c>
      <c r="R57" s="81">
        <f t="shared" si="1"/>
        <v>2951</v>
      </c>
      <c r="S57" s="82">
        <f t="shared" si="11"/>
        <v>1.2356874002596159</v>
      </c>
      <c r="T57" s="83" t="s">
        <v>161</v>
      </c>
      <c r="U57" s="83" t="s">
        <v>152</v>
      </c>
      <c r="V57" s="83" t="s">
        <v>157</v>
      </c>
      <c r="W57" s="113">
        <f t="shared" si="12"/>
        <v>45</v>
      </c>
      <c r="AA57" s="75" t="s">
        <v>177</v>
      </c>
      <c r="AB57" s="44"/>
    </row>
    <row r="58" spans="1:28" ht="14.25">
      <c r="A58" s="15">
        <f t="shared" si="8"/>
        <v>45</v>
      </c>
      <c r="B58" s="15" t="s">
        <v>272</v>
      </c>
      <c r="C58" s="16">
        <v>2019</v>
      </c>
      <c r="D58" s="75" t="s">
        <v>17</v>
      </c>
      <c r="E58" s="16" t="s">
        <v>273</v>
      </c>
      <c r="F58" s="17">
        <v>47</v>
      </c>
      <c r="G58" s="75" t="s">
        <v>102</v>
      </c>
      <c r="H58" s="75" t="s">
        <v>177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7">
        <v>31000</v>
      </c>
      <c r="K58" s="37">
        <v>31000</v>
      </c>
      <c r="L58" s="35">
        <v>0.96</v>
      </c>
      <c r="M58" s="78">
        <f t="shared" si="9"/>
        <v>32291.666666666668</v>
      </c>
      <c r="N58" s="79">
        <f t="shared" si="10"/>
        <v>0.96</v>
      </c>
      <c r="O58" s="80">
        <f t="shared" si="0"/>
        <v>0</v>
      </c>
      <c r="P58" s="19">
        <v>2818</v>
      </c>
      <c r="Q58" s="19">
        <v>1972</v>
      </c>
      <c r="R58" s="81">
        <f t="shared" si="1"/>
        <v>4790</v>
      </c>
      <c r="S58" s="82">
        <f t="shared" si="11"/>
        <v>1.3018721773517727</v>
      </c>
      <c r="T58" s="83" t="s">
        <v>207</v>
      </c>
      <c r="U58" s="83" t="s">
        <v>152</v>
      </c>
      <c r="V58" s="83" t="s">
        <v>157</v>
      </c>
      <c r="W58" s="113">
        <f t="shared" si="12"/>
        <v>60</v>
      </c>
      <c r="AA58" s="75" t="s">
        <v>185</v>
      </c>
      <c r="AB58" s="44">
        <v>500</v>
      </c>
    </row>
    <row r="59" spans="1:28" ht="14.25">
      <c r="A59" s="15">
        <f t="shared" si="8"/>
        <v>46</v>
      </c>
      <c r="B59" s="15" t="s">
        <v>274</v>
      </c>
      <c r="C59" s="16">
        <v>2019</v>
      </c>
      <c r="D59" s="75" t="s">
        <v>193</v>
      </c>
      <c r="E59" s="16" t="s">
        <v>275</v>
      </c>
      <c r="F59" s="17">
        <v>25</v>
      </c>
      <c r="G59" s="75" t="s">
        <v>102</v>
      </c>
      <c r="H59" s="75" t="s">
        <v>177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26300</v>
      </c>
      <c r="K59" s="37">
        <v>26000</v>
      </c>
      <c r="L59" s="35">
        <v>1</v>
      </c>
      <c r="M59" s="78">
        <f t="shared" si="9"/>
        <v>26300</v>
      </c>
      <c r="N59" s="79">
        <f t="shared" si="10"/>
        <v>0.98859315589353614</v>
      </c>
      <c r="O59" s="80">
        <f t="shared" si="0"/>
        <v>300</v>
      </c>
      <c r="P59" s="19">
        <v>3838</v>
      </c>
      <c r="Q59" s="19">
        <v>0</v>
      </c>
      <c r="R59" s="81">
        <f t="shared" si="1"/>
        <v>3838</v>
      </c>
      <c r="S59" s="82">
        <f t="shared" si="11"/>
        <v>2.4937821496254853</v>
      </c>
      <c r="T59" s="83" t="s">
        <v>162</v>
      </c>
      <c r="U59" s="83" t="s">
        <v>152</v>
      </c>
      <c r="V59" s="83" t="s">
        <v>155</v>
      </c>
      <c r="W59" s="113">
        <f t="shared" si="12"/>
        <v>30</v>
      </c>
      <c r="AA59" s="75" t="s">
        <v>177</v>
      </c>
      <c r="AB59" s="44"/>
    </row>
    <row r="60" spans="1:28" ht="14.25">
      <c r="A60" s="15">
        <f t="shared" si="8"/>
        <v>47</v>
      </c>
      <c r="B60" s="15" t="s">
        <v>276</v>
      </c>
      <c r="C60" s="16">
        <v>2022</v>
      </c>
      <c r="D60" s="75" t="s">
        <v>175</v>
      </c>
      <c r="E60" s="16" t="s">
        <v>277</v>
      </c>
      <c r="F60" s="17">
        <v>42</v>
      </c>
      <c r="G60" s="75" t="s">
        <v>116</v>
      </c>
      <c r="H60" s="75" t="s">
        <v>177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>
        <v>36500</v>
      </c>
      <c r="K60" s="37">
        <v>36026</v>
      </c>
      <c r="L60" s="35">
        <v>0.95</v>
      </c>
      <c r="M60" s="78">
        <f t="shared" si="9"/>
        <v>38421.052631578947</v>
      </c>
      <c r="N60" s="79">
        <f t="shared" si="10"/>
        <v>0.93766301369863014</v>
      </c>
      <c r="O60" s="80">
        <f t="shared" si="0"/>
        <v>474</v>
      </c>
      <c r="P60" s="19">
        <v>1194</v>
      </c>
      <c r="Q60" s="19">
        <v>3633</v>
      </c>
      <c r="R60" s="81">
        <f t="shared" si="1"/>
        <v>4827</v>
      </c>
      <c r="S60" s="82">
        <f t="shared" si="11"/>
        <v>1.1878240041997505</v>
      </c>
      <c r="T60" s="83" t="s">
        <v>161</v>
      </c>
      <c r="U60" s="83" t="s">
        <v>152</v>
      </c>
      <c r="V60" s="83" t="s">
        <v>155</v>
      </c>
      <c r="W60" s="113">
        <f t="shared" si="12"/>
        <v>45</v>
      </c>
      <c r="AA60" s="75" t="s">
        <v>177</v>
      </c>
      <c r="AB60" s="44"/>
    </row>
    <row r="61" spans="1:28" ht="14.25">
      <c r="A61" s="15">
        <f t="shared" si="8"/>
        <v>48</v>
      </c>
      <c r="B61" s="15" t="s">
        <v>278</v>
      </c>
      <c r="C61" s="16">
        <v>2018</v>
      </c>
      <c r="D61" s="75" t="s">
        <v>17</v>
      </c>
      <c r="E61" s="16" t="s">
        <v>279</v>
      </c>
      <c r="F61" s="17">
        <v>62</v>
      </c>
      <c r="G61" s="75" t="s">
        <v>102</v>
      </c>
      <c r="H61" s="75" t="s">
        <v>177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12300</v>
      </c>
      <c r="K61" s="37">
        <v>12330</v>
      </c>
      <c r="L61" s="35">
        <v>0.99</v>
      </c>
      <c r="M61" s="78">
        <f t="shared" si="9"/>
        <v>12424.242424242424</v>
      </c>
      <c r="N61" s="79">
        <f t="shared" si="10"/>
        <v>0.99241463414634146</v>
      </c>
      <c r="O61" s="80">
        <f t="shared" si="0"/>
        <v>-30</v>
      </c>
      <c r="P61" s="19">
        <v>2818</v>
      </c>
      <c r="Q61" s="19">
        <v>2638</v>
      </c>
      <c r="R61" s="81">
        <f t="shared" si="1"/>
        <v>5456</v>
      </c>
      <c r="S61" s="82">
        <f t="shared" si="11"/>
        <v>3.3305298570227078</v>
      </c>
      <c r="T61" s="83" t="s">
        <v>207</v>
      </c>
      <c r="U61" s="83" t="s">
        <v>152</v>
      </c>
      <c r="V61" s="83" t="s">
        <v>155</v>
      </c>
      <c r="W61" s="113">
        <f t="shared" si="12"/>
        <v>90</v>
      </c>
      <c r="AA61" s="75" t="s">
        <v>185</v>
      </c>
      <c r="AB61" s="44">
        <v>500</v>
      </c>
    </row>
    <row r="62" spans="1:28" ht="14.25">
      <c r="A62" s="15">
        <f t="shared" si="8"/>
        <v>49</v>
      </c>
      <c r="B62" s="15" t="s">
        <v>280</v>
      </c>
      <c r="C62" s="16">
        <v>2021</v>
      </c>
      <c r="D62" s="75" t="s">
        <v>17</v>
      </c>
      <c r="E62" s="16" t="s">
        <v>281</v>
      </c>
      <c r="F62" s="17">
        <v>16</v>
      </c>
      <c r="G62" s="75" t="s">
        <v>102</v>
      </c>
      <c r="H62" s="75" t="s">
        <v>177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51500</v>
      </c>
      <c r="K62" s="37">
        <v>51530</v>
      </c>
      <c r="L62" s="35">
        <v>0.98</v>
      </c>
      <c r="M62" s="78">
        <f t="shared" si="9"/>
        <v>52551.020408163269</v>
      </c>
      <c r="N62" s="79">
        <f t="shared" si="10"/>
        <v>0.98057087378640773</v>
      </c>
      <c r="O62" s="80">
        <f t="shared" si="0"/>
        <v>-30</v>
      </c>
      <c r="P62" s="19">
        <v>7094</v>
      </c>
      <c r="Q62" s="19">
        <v>3416</v>
      </c>
      <c r="R62" s="81">
        <f t="shared" si="1"/>
        <v>10510</v>
      </c>
      <c r="S62" s="82">
        <f t="shared" si="11"/>
        <v>5.3216986227383201</v>
      </c>
      <c r="T62" s="83" t="s">
        <v>216</v>
      </c>
      <c r="U62" s="83" t="s">
        <v>152</v>
      </c>
      <c r="V62" s="83" t="s">
        <v>155</v>
      </c>
      <c r="W62" s="113">
        <f t="shared" si="12"/>
        <v>30</v>
      </c>
      <c r="AA62" s="75" t="s">
        <v>185</v>
      </c>
      <c r="AB62" s="44">
        <v>0</v>
      </c>
    </row>
    <row r="63" spans="1:28" ht="14.25">
      <c r="A63" s="15">
        <f t="shared" si="8"/>
        <v>50</v>
      </c>
      <c r="B63" s="15" t="s">
        <v>282</v>
      </c>
      <c r="C63" s="16">
        <v>2012</v>
      </c>
      <c r="D63" s="75" t="s">
        <v>175</v>
      </c>
      <c r="E63" s="16" t="s">
        <v>247</v>
      </c>
      <c r="F63" s="17">
        <v>12</v>
      </c>
      <c r="G63" s="75" t="s">
        <v>102</v>
      </c>
      <c r="H63" s="75" t="s">
        <v>177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8000</v>
      </c>
      <c r="K63" s="37">
        <v>8375</v>
      </c>
      <c r="L63" s="35">
        <v>0.99</v>
      </c>
      <c r="M63" s="78">
        <f t="shared" si="9"/>
        <v>8080.8080808080813</v>
      </c>
      <c r="N63" s="79">
        <f t="shared" si="10"/>
        <v>1.03640625</v>
      </c>
      <c r="O63" s="80">
        <f t="shared" si="0"/>
        <v>-375</v>
      </c>
      <c r="P63" s="19">
        <v>4274</v>
      </c>
      <c r="Q63" s="19">
        <v>0</v>
      </c>
      <c r="R63" s="81">
        <f t="shared" si="1"/>
        <v>4274</v>
      </c>
      <c r="S63" s="82">
        <f t="shared" si="11"/>
        <v>31.265544989027067</v>
      </c>
      <c r="T63" s="83" t="s">
        <v>162</v>
      </c>
      <c r="U63" s="83" t="s">
        <v>152</v>
      </c>
      <c r="V63" s="83" t="s">
        <v>155</v>
      </c>
      <c r="W63" s="113">
        <f t="shared" si="12"/>
        <v>30</v>
      </c>
      <c r="AA63" s="75" t="s">
        <v>177</v>
      </c>
      <c r="AB63" s="44"/>
    </row>
    <row r="64" spans="1:28" ht="14.25">
      <c r="A64" s="15">
        <f t="shared" si="8"/>
        <v>51</v>
      </c>
      <c r="B64" s="15" t="s">
        <v>283</v>
      </c>
      <c r="C64" s="16">
        <v>2021</v>
      </c>
      <c r="D64" s="75" t="s">
        <v>54</v>
      </c>
      <c r="E64" s="16" t="s">
        <v>284</v>
      </c>
      <c r="F64" s="17">
        <v>47</v>
      </c>
      <c r="G64" s="75" t="s">
        <v>118</v>
      </c>
      <c r="H64" s="75" t="s">
        <v>177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7">
        <v>29900</v>
      </c>
      <c r="K64" s="37">
        <v>29900</v>
      </c>
      <c r="L64" s="35">
        <v>0.95</v>
      </c>
      <c r="M64" s="78">
        <f t="shared" si="9"/>
        <v>31473.684210526317</v>
      </c>
      <c r="N64" s="79">
        <f t="shared" si="10"/>
        <v>0.95</v>
      </c>
      <c r="O64" s="80">
        <f t="shared" si="0"/>
        <v>0</v>
      </c>
      <c r="P64" s="19">
        <v>425</v>
      </c>
      <c r="Q64" s="19">
        <v>0</v>
      </c>
      <c r="R64" s="81">
        <f t="shared" si="1"/>
        <v>425</v>
      </c>
      <c r="S64" s="82">
        <f t="shared" si="11"/>
        <v>0.1104433977586487</v>
      </c>
      <c r="T64" s="83" t="s">
        <v>161</v>
      </c>
      <c r="U64" s="83" t="s">
        <v>153</v>
      </c>
      <c r="V64" s="83" t="s">
        <v>155</v>
      </c>
      <c r="W64" s="113">
        <f t="shared" si="12"/>
        <v>60</v>
      </c>
      <c r="AA64" s="75" t="s">
        <v>177</v>
      </c>
      <c r="AB64" s="44"/>
    </row>
    <row r="65" spans="1:28" ht="14.25">
      <c r="A65" s="15">
        <f t="shared" si="8"/>
        <v>52</v>
      </c>
      <c r="B65" s="15" t="s">
        <v>285</v>
      </c>
      <c r="C65" s="16">
        <v>2020</v>
      </c>
      <c r="D65" s="75" t="s">
        <v>54</v>
      </c>
      <c r="E65" s="16" t="s">
        <v>286</v>
      </c>
      <c r="F65" s="17">
        <v>52</v>
      </c>
      <c r="G65" s="75" t="s">
        <v>118</v>
      </c>
      <c r="H65" s="75" t="s">
        <v>177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34400</v>
      </c>
      <c r="K65" s="37">
        <v>34000</v>
      </c>
      <c r="L65" s="35">
        <v>0.94</v>
      </c>
      <c r="M65" s="78">
        <f t="shared" si="9"/>
        <v>36595.744680851065</v>
      </c>
      <c r="N65" s="79">
        <f t="shared" si="10"/>
        <v>0.92906976744186043</v>
      </c>
      <c r="O65" s="80">
        <f t="shared" si="0"/>
        <v>400</v>
      </c>
      <c r="P65" s="19">
        <v>-655</v>
      </c>
      <c r="Q65" s="19">
        <v>0</v>
      </c>
      <c r="R65" s="81">
        <f t="shared" si="1"/>
        <v>-655</v>
      </c>
      <c r="S65" s="82">
        <f t="shared" si="11"/>
        <v>-0.1308502491592955</v>
      </c>
      <c r="T65" s="83" t="s">
        <v>161</v>
      </c>
      <c r="U65" s="83" t="s">
        <v>154</v>
      </c>
      <c r="V65" s="83" t="s">
        <v>155</v>
      </c>
      <c r="W65" s="113">
        <f t="shared" si="12"/>
        <v>60</v>
      </c>
      <c r="AA65" s="75" t="s">
        <v>177</v>
      </c>
      <c r="AB65" s="44"/>
    </row>
    <row r="66" spans="1:28" ht="14.25">
      <c r="A66" s="15">
        <f t="shared" si="8"/>
        <v>53</v>
      </c>
      <c r="B66" s="15" t="s">
        <v>287</v>
      </c>
      <c r="C66" s="16">
        <v>2019</v>
      </c>
      <c r="D66" s="75" t="s">
        <v>175</v>
      </c>
      <c r="E66" s="16" t="s">
        <v>247</v>
      </c>
      <c r="F66" s="17">
        <v>55</v>
      </c>
      <c r="G66" s="75" t="s">
        <v>109</v>
      </c>
      <c r="H66" s="75" t="s">
        <v>177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7">
        <v>18700</v>
      </c>
      <c r="K66" s="37">
        <v>18700</v>
      </c>
      <c r="L66" s="35">
        <v>0.95</v>
      </c>
      <c r="M66" s="78">
        <f t="shared" si="9"/>
        <v>19684.21052631579</v>
      </c>
      <c r="N66" s="79">
        <f t="shared" si="10"/>
        <v>0.95</v>
      </c>
      <c r="O66" s="80">
        <f t="shared" si="0"/>
        <v>0</v>
      </c>
      <c r="P66" s="19">
        <v>1955</v>
      </c>
      <c r="Q66" s="19">
        <v>1713</v>
      </c>
      <c r="R66" s="81">
        <f t="shared" si="1"/>
        <v>3668</v>
      </c>
      <c r="S66" s="82">
        <f t="shared" si="11"/>
        <v>1.4337848475800103</v>
      </c>
      <c r="T66" s="83" t="s">
        <v>161</v>
      </c>
      <c r="U66" s="83" t="s">
        <v>152</v>
      </c>
      <c r="V66" s="83" t="s">
        <v>155</v>
      </c>
      <c r="W66" s="113">
        <f t="shared" si="12"/>
        <v>60</v>
      </c>
      <c r="AA66" s="75" t="s">
        <v>177</v>
      </c>
      <c r="AB66" s="44"/>
    </row>
    <row r="67" spans="1:28" ht="14.25">
      <c r="A67" s="15">
        <f t="shared" si="8"/>
        <v>54</v>
      </c>
      <c r="B67" s="15" t="s">
        <v>288</v>
      </c>
      <c r="C67" s="16">
        <v>2020</v>
      </c>
      <c r="D67" s="75" t="s">
        <v>175</v>
      </c>
      <c r="E67" s="16" t="s">
        <v>247</v>
      </c>
      <c r="F67" s="17">
        <v>22</v>
      </c>
      <c r="G67" s="75" t="s">
        <v>102</v>
      </c>
      <c r="H67" s="75" t="s">
        <v>185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>
        <v>20500</v>
      </c>
      <c r="K67" s="37">
        <v>21530</v>
      </c>
      <c r="L67" s="35">
        <v>0.98</v>
      </c>
      <c r="M67" s="78">
        <f t="shared" si="9"/>
        <v>20918.367346938776</v>
      </c>
      <c r="N67" s="79">
        <f t="shared" si="10"/>
        <v>1.0292390243902438</v>
      </c>
      <c r="O67" s="80">
        <f t="shared" si="0"/>
        <v>-1030</v>
      </c>
      <c r="P67" s="19">
        <v>3604</v>
      </c>
      <c r="Q67" s="19">
        <v>3489</v>
      </c>
      <c r="R67" s="81">
        <f t="shared" si="1"/>
        <v>7093</v>
      </c>
      <c r="S67" s="82">
        <f t="shared" si="11"/>
        <v>6.4748004422220644</v>
      </c>
      <c r="T67" s="83" t="s">
        <v>167</v>
      </c>
      <c r="U67" s="83" t="s">
        <v>152</v>
      </c>
      <c r="V67" s="83" t="s">
        <v>155</v>
      </c>
      <c r="W67" s="113">
        <f t="shared" si="12"/>
        <v>30</v>
      </c>
      <c r="AA67" s="75" t="s">
        <v>185</v>
      </c>
      <c r="AB67" s="44">
        <v>0</v>
      </c>
    </row>
    <row r="68" spans="1:28" ht="14.25">
      <c r="A68" s="15">
        <f t="shared" si="8"/>
        <v>55</v>
      </c>
      <c r="B68" s="15" t="s">
        <v>289</v>
      </c>
      <c r="C68" s="16">
        <v>2012</v>
      </c>
      <c r="D68" s="75" t="s">
        <v>290</v>
      </c>
      <c r="E68" s="16" t="s">
        <v>291</v>
      </c>
      <c r="F68" s="17">
        <v>11</v>
      </c>
      <c r="G68" s="75" t="s">
        <v>102</v>
      </c>
      <c r="H68" s="75" t="s">
        <v>177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14500</v>
      </c>
      <c r="K68" s="37">
        <v>10137</v>
      </c>
      <c r="L68" s="35">
        <v>1</v>
      </c>
      <c r="M68" s="78">
        <f t="shared" si="9"/>
        <v>14500</v>
      </c>
      <c r="N68" s="79">
        <f t="shared" si="10"/>
        <v>0.69910344827586202</v>
      </c>
      <c r="O68" s="80">
        <f t="shared" si="0"/>
        <v>4363</v>
      </c>
      <c r="P68" s="19">
        <v>2740</v>
      </c>
      <c r="Q68" s="19">
        <v>0</v>
      </c>
      <c r="R68" s="81">
        <f t="shared" si="1"/>
        <v>2740</v>
      </c>
      <c r="S68" s="82">
        <f t="shared" si="11"/>
        <v>12.122850787174162</v>
      </c>
      <c r="T68" s="83" t="s">
        <v>167</v>
      </c>
      <c r="U68" s="83" t="s">
        <v>152</v>
      </c>
      <c r="V68" s="83" t="s">
        <v>155</v>
      </c>
      <c r="W68" s="113">
        <f t="shared" si="12"/>
        <v>30</v>
      </c>
      <c r="AA68" s="75"/>
      <c r="AB68" s="44"/>
    </row>
    <row r="69" spans="1:28" ht="14.25">
      <c r="A69" s="15">
        <f t="shared" si="8"/>
        <v>56</v>
      </c>
      <c r="B69" s="15" t="s">
        <v>292</v>
      </c>
      <c r="C69" s="16">
        <v>2021</v>
      </c>
      <c r="D69" s="75" t="s">
        <v>181</v>
      </c>
      <c r="E69" s="16" t="s">
        <v>293</v>
      </c>
      <c r="F69" s="17">
        <v>54</v>
      </c>
      <c r="G69" s="75" t="s">
        <v>102</v>
      </c>
      <c r="H69" s="75" t="s">
        <v>177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7">
        <v>32500</v>
      </c>
      <c r="K69" s="37">
        <v>32530</v>
      </c>
      <c r="L69" s="35">
        <v>0.95</v>
      </c>
      <c r="M69" s="78">
        <f t="shared" si="9"/>
        <v>34210.526315789473</v>
      </c>
      <c r="N69" s="79">
        <f t="shared" si="10"/>
        <v>0.95087692307692306</v>
      </c>
      <c r="O69" s="80">
        <f t="shared" si="0"/>
        <v>-30</v>
      </c>
      <c r="P69" s="19">
        <v>1351</v>
      </c>
      <c r="Q69" s="19">
        <v>1885</v>
      </c>
      <c r="R69" s="81">
        <f t="shared" si="1"/>
        <v>3236</v>
      </c>
      <c r="S69" s="82">
        <f t="shared" si="11"/>
        <v>0.69191870596662286</v>
      </c>
      <c r="T69" s="83" t="s">
        <v>162</v>
      </c>
      <c r="U69" s="83" t="s">
        <v>152</v>
      </c>
      <c r="V69" s="83" t="s">
        <v>155</v>
      </c>
      <c r="W69" s="113">
        <f t="shared" si="12"/>
        <v>60</v>
      </c>
      <c r="AA69" s="75" t="s">
        <v>185</v>
      </c>
      <c r="AB69" s="44">
        <v>-500</v>
      </c>
    </row>
    <row r="70" spans="1:28" ht="14.25">
      <c r="A70" s="15">
        <f t="shared" si="8"/>
        <v>57</v>
      </c>
      <c r="B70" s="15" t="s">
        <v>294</v>
      </c>
      <c r="C70" s="16">
        <v>2021</v>
      </c>
      <c r="D70" s="75" t="s">
        <v>193</v>
      </c>
      <c r="E70" s="16" t="s">
        <v>225</v>
      </c>
      <c r="F70" s="17">
        <v>75</v>
      </c>
      <c r="G70" s="75" t="s">
        <v>102</v>
      </c>
      <c r="H70" s="75" t="s">
        <v>177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32000</v>
      </c>
      <c r="K70" s="37">
        <v>32000</v>
      </c>
      <c r="L70" s="35">
        <v>0.91</v>
      </c>
      <c r="M70" s="78">
        <f t="shared" si="9"/>
        <v>35164.835164835167</v>
      </c>
      <c r="N70" s="79">
        <f t="shared" si="10"/>
        <v>0.90999999999999992</v>
      </c>
      <c r="O70" s="80">
        <f t="shared" si="0"/>
        <v>0</v>
      </c>
      <c r="P70" s="19">
        <v>-225</v>
      </c>
      <c r="Q70" s="19">
        <v>36</v>
      </c>
      <c r="R70" s="81">
        <f t="shared" si="1"/>
        <v>-189</v>
      </c>
      <c r="S70" s="82">
        <f t="shared" si="11"/>
        <v>-2.8152055857253687E-2</v>
      </c>
      <c r="T70" s="83" t="s">
        <v>207</v>
      </c>
      <c r="U70" s="83" t="s">
        <v>152</v>
      </c>
      <c r="V70" s="83" t="s">
        <v>155</v>
      </c>
      <c r="W70" s="113">
        <f t="shared" si="12"/>
        <v>90</v>
      </c>
      <c r="AA70" s="75" t="s">
        <v>185</v>
      </c>
      <c r="AB70" s="44">
        <v>0</v>
      </c>
    </row>
    <row r="71" spans="1:28" ht="14.25">
      <c r="A71" s="15">
        <f t="shared" si="8"/>
        <v>58</v>
      </c>
      <c r="B71" s="15" t="s">
        <v>296</v>
      </c>
      <c r="C71" s="16">
        <v>2017</v>
      </c>
      <c r="D71" s="75" t="s">
        <v>43</v>
      </c>
      <c r="E71" s="16" t="s">
        <v>295</v>
      </c>
      <c r="F71" s="17">
        <v>25</v>
      </c>
      <c r="G71" s="75" t="s">
        <v>102</v>
      </c>
      <c r="H71" s="75" t="s">
        <v>177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20900</v>
      </c>
      <c r="K71" s="37">
        <v>20900</v>
      </c>
      <c r="L71" s="35">
        <v>0.92</v>
      </c>
      <c r="M71" s="78">
        <f t="shared" si="9"/>
        <v>22717.391304347824</v>
      </c>
      <c r="N71" s="79">
        <f t="shared" si="10"/>
        <v>0.92</v>
      </c>
      <c r="O71" s="80">
        <f t="shared" si="0"/>
        <v>0</v>
      </c>
      <c r="P71" s="19">
        <v>3463</v>
      </c>
      <c r="Q71" s="19">
        <v>886</v>
      </c>
      <c r="R71" s="81">
        <f t="shared" si="1"/>
        <v>4349</v>
      </c>
      <c r="S71" s="82">
        <f t="shared" si="11"/>
        <v>3.5915352411538684</v>
      </c>
      <c r="T71" s="83" t="s">
        <v>159</v>
      </c>
      <c r="U71" s="83" t="s">
        <v>152</v>
      </c>
      <c r="V71" s="83" t="s">
        <v>156</v>
      </c>
      <c r="W71" s="113">
        <f t="shared" si="12"/>
        <v>30</v>
      </c>
      <c r="AA71" s="75" t="s">
        <v>185</v>
      </c>
      <c r="AB71" s="44">
        <v>0</v>
      </c>
    </row>
    <row r="72" spans="1:28" ht="14.25">
      <c r="A72" s="15">
        <f t="shared" si="8"/>
        <v>59</v>
      </c>
      <c r="B72" s="15" t="s">
        <v>297</v>
      </c>
      <c r="C72" s="16">
        <v>2014</v>
      </c>
      <c r="D72" s="75" t="s">
        <v>54</v>
      </c>
      <c r="E72" s="16" t="s">
        <v>234</v>
      </c>
      <c r="F72" s="17">
        <v>39</v>
      </c>
      <c r="G72" s="75" t="s">
        <v>111</v>
      </c>
      <c r="H72" s="75" t="s">
        <v>177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7">
        <v>11400</v>
      </c>
      <c r="K72" s="37">
        <v>11400</v>
      </c>
      <c r="L72" s="35">
        <v>1</v>
      </c>
      <c r="M72" s="78">
        <f t="shared" si="9"/>
        <v>11400</v>
      </c>
      <c r="N72" s="79">
        <f t="shared" si="10"/>
        <v>1</v>
      </c>
      <c r="O72" s="80">
        <f t="shared" si="0"/>
        <v>0</v>
      </c>
      <c r="P72" s="19">
        <v>2836</v>
      </c>
      <c r="Q72" s="19">
        <v>0</v>
      </c>
      <c r="R72" s="81">
        <f t="shared" si="1"/>
        <v>2836</v>
      </c>
      <c r="S72" s="82">
        <f t="shared" si="11"/>
        <v>3.0568030754859334</v>
      </c>
      <c r="T72" s="83" t="s">
        <v>173</v>
      </c>
      <c r="U72" s="83" t="s">
        <v>152</v>
      </c>
      <c r="V72" s="83" t="s">
        <v>155</v>
      </c>
      <c r="W72" s="113">
        <f t="shared" si="12"/>
        <v>45</v>
      </c>
      <c r="AA72" s="75" t="s">
        <v>177</v>
      </c>
      <c r="AB72" s="44"/>
    </row>
    <row r="73" spans="1:28" ht="14.25">
      <c r="A73" s="15">
        <f t="shared" si="8"/>
        <v>60</v>
      </c>
      <c r="B73" s="15" t="s">
        <v>298</v>
      </c>
      <c r="C73" s="16">
        <v>2019</v>
      </c>
      <c r="D73" s="75" t="s">
        <v>218</v>
      </c>
      <c r="E73" s="16" t="s">
        <v>299</v>
      </c>
      <c r="F73" s="17">
        <v>47</v>
      </c>
      <c r="G73" s="75" t="s">
        <v>102</v>
      </c>
      <c r="H73" s="75" t="s">
        <v>177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31500</v>
      </c>
      <c r="K73" s="37">
        <v>31500</v>
      </c>
      <c r="L73" s="35">
        <v>0.93</v>
      </c>
      <c r="M73" s="78">
        <f t="shared" si="9"/>
        <v>33870.967741935485</v>
      </c>
      <c r="N73" s="79">
        <f t="shared" si="10"/>
        <v>0.92999999999999994</v>
      </c>
      <c r="O73" s="80">
        <f t="shared" si="0"/>
        <v>0</v>
      </c>
      <c r="P73" s="19">
        <v>-1800</v>
      </c>
      <c r="Q73" s="19">
        <v>1267</v>
      </c>
      <c r="R73" s="81">
        <f t="shared" si="1"/>
        <v>-533</v>
      </c>
      <c r="S73" s="82">
        <f t="shared" si="11"/>
        <v>-0.12259919493962046</v>
      </c>
      <c r="T73" s="83" t="s">
        <v>214</v>
      </c>
      <c r="U73" s="83" t="s">
        <v>152</v>
      </c>
      <c r="V73" s="83" t="s">
        <v>155</v>
      </c>
      <c r="W73" s="113">
        <f t="shared" si="12"/>
        <v>60</v>
      </c>
      <c r="AA73" s="75" t="s">
        <v>177</v>
      </c>
      <c r="AB73" s="44"/>
    </row>
    <row r="74" spans="1:28" ht="14.25">
      <c r="A74" s="15">
        <f t="shared" si="8"/>
        <v>61</v>
      </c>
      <c r="B74" s="15" t="s">
        <v>300</v>
      </c>
      <c r="C74" s="16">
        <v>2018</v>
      </c>
      <c r="D74" s="75" t="s">
        <v>301</v>
      </c>
      <c r="E74" s="16" t="s">
        <v>302</v>
      </c>
      <c r="F74" s="17">
        <v>39</v>
      </c>
      <c r="G74" s="75" t="s">
        <v>102</v>
      </c>
      <c r="H74" s="75" t="s">
        <v>177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29000</v>
      </c>
      <c r="K74" s="37">
        <v>29000</v>
      </c>
      <c r="L74" s="35">
        <v>0.95</v>
      </c>
      <c r="M74" s="78">
        <f t="shared" si="9"/>
        <v>30526.315789473687</v>
      </c>
      <c r="N74" s="79">
        <f t="shared" si="10"/>
        <v>0.95</v>
      </c>
      <c r="O74" s="80">
        <f t="shared" si="0"/>
        <v>0</v>
      </c>
      <c r="P74" s="19">
        <v>896</v>
      </c>
      <c r="Q74" s="19">
        <v>2992</v>
      </c>
      <c r="R74" s="81">
        <f t="shared" si="1"/>
        <v>3888</v>
      </c>
      <c r="S74" s="82">
        <f t="shared" si="11"/>
        <v>1.2770150430269986</v>
      </c>
      <c r="T74" s="83" t="s">
        <v>163</v>
      </c>
      <c r="U74" s="83" t="s">
        <v>152</v>
      </c>
      <c r="V74" s="83" t="s">
        <v>155</v>
      </c>
      <c r="W74" s="113">
        <f t="shared" si="12"/>
        <v>45</v>
      </c>
      <c r="AA74" s="75" t="s">
        <v>185</v>
      </c>
      <c r="AB74" s="44">
        <v>0</v>
      </c>
    </row>
    <row r="75" spans="1:28" ht="14.25">
      <c r="A75" s="15">
        <f t="shared" si="8"/>
        <v>62</v>
      </c>
      <c r="B75" s="15" t="s">
        <v>303</v>
      </c>
      <c r="C75" s="16">
        <v>2023</v>
      </c>
      <c r="D75" s="75" t="s">
        <v>197</v>
      </c>
      <c r="E75" s="16" t="s">
        <v>267</v>
      </c>
      <c r="F75" s="17">
        <v>10</v>
      </c>
      <c r="G75" s="75" t="s">
        <v>102</v>
      </c>
      <c r="H75" s="75" t="s">
        <v>177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7">
        <v>31000</v>
      </c>
      <c r="K75" s="37">
        <v>29900</v>
      </c>
      <c r="L75" s="35">
        <v>0.97</v>
      </c>
      <c r="M75" s="78">
        <f t="shared" si="9"/>
        <v>31958.762886597939</v>
      </c>
      <c r="N75" s="79">
        <f t="shared" si="10"/>
        <v>0.93558064516129036</v>
      </c>
      <c r="O75" s="80">
        <f t="shared" si="0"/>
        <v>1100</v>
      </c>
      <c r="P75" s="19">
        <v>965</v>
      </c>
      <c r="Q75" s="19">
        <v>2943</v>
      </c>
      <c r="R75" s="81">
        <f t="shared" si="1"/>
        <v>3908</v>
      </c>
      <c r="S75" s="82">
        <f t="shared" si="11"/>
        <v>4.8622083981337481</v>
      </c>
      <c r="T75" s="83" t="s">
        <v>214</v>
      </c>
      <c r="U75" s="83" t="s">
        <v>152</v>
      </c>
      <c r="V75" s="83" t="s">
        <v>157</v>
      </c>
      <c r="W75" s="113">
        <f t="shared" si="12"/>
        <v>30</v>
      </c>
      <c r="AA75" s="75" t="s">
        <v>177</v>
      </c>
      <c r="AB75" s="44"/>
    </row>
    <row r="76" spans="1:28" ht="14.25">
      <c r="A76" s="15">
        <f t="shared" si="8"/>
        <v>63</v>
      </c>
      <c r="B76" s="15" t="s">
        <v>304</v>
      </c>
      <c r="C76" s="16">
        <v>2017</v>
      </c>
      <c r="D76" s="75" t="s">
        <v>17</v>
      </c>
      <c r="E76" s="16" t="s">
        <v>305</v>
      </c>
      <c r="F76" s="17">
        <v>32</v>
      </c>
      <c r="G76" s="75" t="s">
        <v>102</v>
      </c>
      <c r="H76" s="75" t="s">
        <v>177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7">
        <v>29500</v>
      </c>
      <c r="K76" s="38">
        <v>29500</v>
      </c>
      <c r="L76" s="36">
        <v>0.98</v>
      </c>
      <c r="M76" s="78">
        <f t="shared" si="9"/>
        <v>30102.040816326531</v>
      </c>
      <c r="N76" s="79">
        <f t="shared" si="10"/>
        <v>0.98</v>
      </c>
      <c r="O76" s="80">
        <f t="shared" si="0"/>
        <v>0</v>
      </c>
      <c r="P76" s="19">
        <v>-457</v>
      </c>
      <c r="Q76" s="19">
        <v>1239</v>
      </c>
      <c r="R76" s="81">
        <f t="shared" si="1"/>
        <v>782</v>
      </c>
      <c r="S76" s="82">
        <f t="shared" si="11"/>
        <v>0.29367092833060721</v>
      </c>
      <c r="T76" s="83" t="s">
        <v>159</v>
      </c>
      <c r="U76" s="83" t="s">
        <v>152</v>
      </c>
      <c r="V76" s="83" t="s">
        <v>156</v>
      </c>
      <c r="W76" s="113">
        <f t="shared" si="12"/>
        <v>45</v>
      </c>
      <c r="AA76" s="75" t="s">
        <v>177</v>
      </c>
      <c r="AB76" s="44"/>
    </row>
    <row r="77" spans="1:28" ht="14.25">
      <c r="A77" s="15">
        <f t="shared" si="8"/>
        <v>64</v>
      </c>
      <c r="B77" s="15" t="s">
        <v>306</v>
      </c>
      <c r="C77" s="16">
        <v>2019</v>
      </c>
      <c r="D77" s="75" t="s">
        <v>197</v>
      </c>
      <c r="E77" s="16" t="s">
        <v>307</v>
      </c>
      <c r="F77" s="17">
        <v>21</v>
      </c>
      <c r="G77" s="75" t="s">
        <v>108</v>
      </c>
      <c r="H77" s="75" t="s">
        <v>177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>
        <v>25500</v>
      </c>
      <c r="K77" s="38">
        <v>25500</v>
      </c>
      <c r="L77" s="36">
        <v>0.98</v>
      </c>
      <c r="M77" s="78">
        <f t="shared" si="9"/>
        <v>26020.408163265307</v>
      </c>
      <c r="N77" s="79">
        <f t="shared" si="10"/>
        <v>0.98</v>
      </c>
      <c r="O77" s="80">
        <f t="shared" ref="O77:O140" si="13">IF(K77=0,"BLANK",(J77-K77))</f>
        <v>0</v>
      </c>
      <c r="P77" s="19">
        <v>-907</v>
      </c>
      <c r="Q77" s="19">
        <v>0</v>
      </c>
      <c r="R77" s="81">
        <f t="shared" ref="R77:R140" si="14">IF(K77=0,"BLANK",SUM(P77:Q77))</f>
        <v>-907</v>
      </c>
      <c r="S77" s="82">
        <f t="shared" si="11"/>
        <v>-0.58880491644531485</v>
      </c>
      <c r="T77" s="83" t="s">
        <v>214</v>
      </c>
      <c r="U77" s="83" t="s">
        <v>152</v>
      </c>
      <c r="V77" s="83" t="s">
        <v>155</v>
      </c>
      <c r="W77" s="113">
        <f t="shared" ref="W77:W108" si="15">IF(AND(F77&gt;0,F77&lt;=30),30,IF(AND(F77&gt;=31,F77&lt;=45),45,IF(AND(F77&gt;=46,F77&lt;=60),60,IF(AND(F77&gt;=61,F77&lt;=90),90,IF(F77&gt;=91,91,0)))))</f>
        <v>30</v>
      </c>
      <c r="AA77" s="75" t="s">
        <v>177</v>
      </c>
      <c r="AB77" s="44"/>
    </row>
    <row r="78" spans="1:28" ht="14.25">
      <c r="A78" s="15">
        <f t="shared" si="8"/>
        <v>65</v>
      </c>
      <c r="B78" s="15" t="s">
        <v>308</v>
      </c>
      <c r="C78" s="16">
        <v>2016</v>
      </c>
      <c r="D78" s="75" t="s">
        <v>197</v>
      </c>
      <c r="E78" s="16" t="s">
        <v>295</v>
      </c>
      <c r="F78" s="17">
        <v>21</v>
      </c>
      <c r="G78" s="75" t="s">
        <v>111</v>
      </c>
      <c r="H78" s="75" t="s">
        <v>177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7">
        <v>17500</v>
      </c>
      <c r="K78" s="38">
        <v>17500</v>
      </c>
      <c r="L78" s="36">
        <v>0.96</v>
      </c>
      <c r="M78" s="78">
        <f t="shared" si="9"/>
        <v>18229.166666666668</v>
      </c>
      <c r="N78" s="79">
        <f t="shared" si="10"/>
        <v>0.96</v>
      </c>
      <c r="O78" s="80">
        <f t="shared" si="13"/>
        <v>0</v>
      </c>
      <c r="P78" s="19">
        <v>1142</v>
      </c>
      <c r="Q78" s="19">
        <v>840</v>
      </c>
      <c r="R78" s="81">
        <f t="shared" si="14"/>
        <v>1982</v>
      </c>
      <c r="S78" s="82">
        <f t="shared" si="11"/>
        <v>2.0770963966953695</v>
      </c>
      <c r="T78" s="83" t="s">
        <v>253</v>
      </c>
      <c r="U78" s="83" t="s">
        <v>153</v>
      </c>
      <c r="V78" s="83" t="s">
        <v>155</v>
      </c>
      <c r="W78" s="113">
        <f t="shared" si="15"/>
        <v>30</v>
      </c>
      <c r="AA78" s="75" t="s">
        <v>177</v>
      </c>
      <c r="AB78" s="44"/>
    </row>
    <row r="79" spans="1:28" ht="14.25">
      <c r="A79" s="15">
        <f t="shared" ref="A79:A142" si="16">A78+1</f>
        <v>66</v>
      </c>
      <c r="B79" s="15" t="s">
        <v>309</v>
      </c>
      <c r="C79" s="16">
        <v>2022</v>
      </c>
      <c r="D79" s="75" t="s">
        <v>23</v>
      </c>
      <c r="E79" s="16" t="s">
        <v>310</v>
      </c>
      <c r="F79" s="17">
        <v>34</v>
      </c>
      <c r="G79" s="75" t="s">
        <v>102</v>
      </c>
      <c r="H79" s="75" t="s">
        <v>177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7">
        <v>41700</v>
      </c>
      <c r="K79" s="38">
        <v>41254</v>
      </c>
      <c r="L79" s="36">
        <v>0.94</v>
      </c>
      <c r="M79" s="78">
        <f t="shared" ref="M79:M142" si="17">J79/L79</f>
        <v>44361.702127659577</v>
      </c>
      <c r="N79" s="79">
        <f t="shared" ref="N79:N142" si="18">K79/M79</f>
        <v>0.92994628297362103</v>
      </c>
      <c r="O79" s="80">
        <f t="shared" si="13"/>
        <v>446</v>
      </c>
      <c r="P79" s="19">
        <v>1985</v>
      </c>
      <c r="Q79" s="19">
        <v>5</v>
      </c>
      <c r="R79" s="81">
        <f t="shared" si="14"/>
        <v>1990</v>
      </c>
      <c r="S79" s="82">
        <f t="shared" ref="S79:S142" si="19">(R79/(K79-P79))*(360/F79)</f>
        <v>0.53657053236125485</v>
      </c>
      <c r="T79" s="83" t="s">
        <v>227</v>
      </c>
      <c r="U79" s="83" t="s">
        <v>153</v>
      </c>
      <c r="V79" s="83" t="s">
        <v>155</v>
      </c>
      <c r="W79" s="113">
        <f t="shared" si="15"/>
        <v>45</v>
      </c>
      <c r="AA79" s="75" t="s">
        <v>177</v>
      </c>
      <c r="AB79" s="44"/>
    </row>
    <row r="80" spans="1:28" ht="14.25">
      <c r="A80" s="15">
        <f t="shared" si="16"/>
        <v>67</v>
      </c>
      <c r="B80" s="15" t="s">
        <v>311</v>
      </c>
      <c r="C80" s="16">
        <v>2021</v>
      </c>
      <c r="D80" s="75" t="s">
        <v>312</v>
      </c>
      <c r="E80" s="16" t="s">
        <v>313</v>
      </c>
      <c r="F80" s="17">
        <v>92</v>
      </c>
      <c r="G80" s="75" t="s">
        <v>102</v>
      </c>
      <c r="H80" s="75" t="s">
        <v>177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7">
        <v>79900</v>
      </c>
      <c r="K80" s="38">
        <v>79000</v>
      </c>
      <c r="L80" s="36">
        <v>0.96</v>
      </c>
      <c r="M80" s="78">
        <f t="shared" si="17"/>
        <v>83229.166666666672</v>
      </c>
      <c r="N80" s="79">
        <f t="shared" si="18"/>
        <v>0.94918648310387976</v>
      </c>
      <c r="O80" s="80">
        <f t="shared" si="13"/>
        <v>900</v>
      </c>
      <c r="P80" s="19">
        <v>-4206</v>
      </c>
      <c r="Q80" s="19">
        <v>422</v>
      </c>
      <c r="R80" s="81">
        <f t="shared" si="14"/>
        <v>-3784</v>
      </c>
      <c r="S80" s="82">
        <f t="shared" si="19"/>
        <v>-0.17795539410305905</v>
      </c>
      <c r="T80" s="83" t="s">
        <v>207</v>
      </c>
      <c r="U80" s="83" t="s">
        <v>152</v>
      </c>
      <c r="V80" s="83" t="s">
        <v>155</v>
      </c>
      <c r="W80" s="113">
        <f t="shared" si="15"/>
        <v>91</v>
      </c>
      <c r="AA80" s="75" t="s">
        <v>185</v>
      </c>
      <c r="AB80" s="44">
        <v>0</v>
      </c>
    </row>
    <row r="81" spans="1:28" ht="14.25">
      <c r="A81" s="15">
        <f t="shared" si="16"/>
        <v>68</v>
      </c>
      <c r="B81" s="15" t="s">
        <v>314</v>
      </c>
      <c r="C81" s="16">
        <v>2020</v>
      </c>
      <c r="D81" s="75" t="s">
        <v>315</v>
      </c>
      <c r="E81" s="16">
        <v>1500</v>
      </c>
      <c r="F81" s="17">
        <v>24</v>
      </c>
      <c r="G81" s="75" t="s">
        <v>111</v>
      </c>
      <c r="H81" s="75" t="s">
        <v>177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33000</v>
      </c>
      <c r="K81" s="38">
        <v>33000</v>
      </c>
      <c r="L81" s="36">
        <v>0.95</v>
      </c>
      <c r="M81" s="78">
        <f t="shared" si="17"/>
        <v>34736.84210526316</v>
      </c>
      <c r="N81" s="79">
        <f t="shared" si="18"/>
        <v>0.95</v>
      </c>
      <c r="O81" s="80">
        <f t="shared" si="13"/>
        <v>0</v>
      </c>
      <c r="P81" s="19">
        <v>2760</v>
      </c>
      <c r="Q81" s="19">
        <v>6982</v>
      </c>
      <c r="R81" s="81">
        <f t="shared" si="14"/>
        <v>9742</v>
      </c>
      <c r="S81" s="82">
        <f t="shared" si="19"/>
        <v>4.8323412698412698</v>
      </c>
      <c r="T81" s="83" t="s">
        <v>227</v>
      </c>
      <c r="U81" s="83" t="s">
        <v>152</v>
      </c>
      <c r="V81" s="83" t="s">
        <v>155</v>
      </c>
      <c r="W81" s="113">
        <f t="shared" si="15"/>
        <v>30</v>
      </c>
      <c r="AA81" s="75" t="s">
        <v>177</v>
      </c>
      <c r="AB81" s="44"/>
    </row>
    <row r="82" spans="1:28" ht="14.25">
      <c r="A82" s="15">
        <f t="shared" si="16"/>
        <v>69</v>
      </c>
      <c r="B82" s="15" t="s">
        <v>316</v>
      </c>
      <c r="C82" s="16">
        <v>2016</v>
      </c>
      <c r="D82" s="75" t="s">
        <v>181</v>
      </c>
      <c r="E82" s="16" t="s">
        <v>293</v>
      </c>
      <c r="F82" s="17">
        <v>30</v>
      </c>
      <c r="G82" s="75" t="s">
        <v>109</v>
      </c>
      <c r="H82" s="75" t="s">
        <v>177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7">
        <v>32700</v>
      </c>
      <c r="K82" s="38">
        <v>32700</v>
      </c>
      <c r="L82" s="36">
        <v>0.94</v>
      </c>
      <c r="M82" s="78">
        <f t="shared" si="17"/>
        <v>34787.234042553195</v>
      </c>
      <c r="N82" s="79">
        <f t="shared" si="18"/>
        <v>0.94</v>
      </c>
      <c r="O82" s="80">
        <f t="shared" si="13"/>
        <v>0</v>
      </c>
      <c r="P82" s="19">
        <v>3528</v>
      </c>
      <c r="Q82" s="19">
        <v>5610</v>
      </c>
      <c r="R82" s="81">
        <f t="shared" si="14"/>
        <v>9138</v>
      </c>
      <c r="S82" s="82">
        <f t="shared" si="19"/>
        <v>3.7589469354175238</v>
      </c>
      <c r="T82" s="83" t="s">
        <v>207</v>
      </c>
      <c r="U82" s="83" t="s">
        <v>152</v>
      </c>
      <c r="V82" s="83" t="s">
        <v>155</v>
      </c>
      <c r="W82" s="113">
        <f t="shared" si="15"/>
        <v>30</v>
      </c>
      <c r="AA82" s="75" t="s">
        <v>177</v>
      </c>
      <c r="AB82" s="44"/>
    </row>
    <row r="83" spans="1:28" ht="14.25">
      <c r="A83" s="15">
        <f t="shared" si="16"/>
        <v>70</v>
      </c>
      <c r="B83" s="15" t="s">
        <v>317</v>
      </c>
      <c r="C83" s="16">
        <v>2021</v>
      </c>
      <c r="D83" s="75" t="s">
        <v>17</v>
      </c>
      <c r="E83" s="16" t="s">
        <v>318</v>
      </c>
      <c r="F83" s="17">
        <v>46</v>
      </c>
      <c r="G83" s="75" t="s">
        <v>111</v>
      </c>
      <c r="H83" s="75" t="s">
        <v>177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22500</v>
      </c>
      <c r="K83" s="38">
        <v>22500</v>
      </c>
      <c r="L83" s="36">
        <v>0.91</v>
      </c>
      <c r="M83" s="78">
        <f t="shared" si="17"/>
        <v>24725.274725274725</v>
      </c>
      <c r="N83" s="79">
        <f t="shared" si="18"/>
        <v>0.91</v>
      </c>
      <c r="O83" s="80">
        <f t="shared" si="13"/>
        <v>0</v>
      </c>
      <c r="P83" s="19">
        <v>1732</v>
      </c>
      <c r="Q83" s="19">
        <v>2705</v>
      </c>
      <c r="R83" s="81">
        <f t="shared" si="14"/>
        <v>4437</v>
      </c>
      <c r="S83" s="82">
        <f t="shared" si="19"/>
        <v>1.6720121256783009</v>
      </c>
      <c r="T83" s="83" t="s">
        <v>161</v>
      </c>
      <c r="U83" s="83" t="s">
        <v>152</v>
      </c>
      <c r="V83" s="83" t="s">
        <v>155</v>
      </c>
      <c r="W83" s="113">
        <f t="shared" si="15"/>
        <v>60</v>
      </c>
      <c r="AA83" s="75" t="s">
        <v>177</v>
      </c>
      <c r="AB83" s="44"/>
    </row>
    <row r="84" spans="1:28" ht="14.25">
      <c r="A84" s="15">
        <f t="shared" si="16"/>
        <v>71</v>
      </c>
      <c r="B84" s="15" t="s">
        <v>319</v>
      </c>
      <c r="C84" s="16">
        <v>2020</v>
      </c>
      <c r="D84" s="75" t="s">
        <v>221</v>
      </c>
      <c r="E84" s="16" t="s">
        <v>320</v>
      </c>
      <c r="F84" s="17">
        <v>46</v>
      </c>
      <c r="G84" s="75" t="s">
        <v>102</v>
      </c>
      <c r="H84" s="75" t="s">
        <v>177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7">
        <v>24500</v>
      </c>
      <c r="K84" s="37">
        <v>24530</v>
      </c>
      <c r="L84" s="35">
        <v>0.95</v>
      </c>
      <c r="M84" s="78">
        <f t="shared" si="17"/>
        <v>25789.473684210527</v>
      </c>
      <c r="N84" s="79">
        <f t="shared" si="18"/>
        <v>0.95116326530612239</v>
      </c>
      <c r="O84" s="80">
        <f t="shared" si="13"/>
        <v>-30</v>
      </c>
      <c r="P84" s="19">
        <v>284</v>
      </c>
      <c r="Q84" s="19">
        <v>3805</v>
      </c>
      <c r="R84" s="81">
        <f t="shared" si="14"/>
        <v>4089</v>
      </c>
      <c r="S84" s="82">
        <f t="shared" si="19"/>
        <v>1.3198411929892515</v>
      </c>
      <c r="T84" s="83" t="s">
        <v>216</v>
      </c>
      <c r="U84" s="83" t="s">
        <v>152</v>
      </c>
      <c r="V84" s="83" t="s">
        <v>155</v>
      </c>
      <c r="W84" s="113">
        <f t="shared" si="15"/>
        <v>60</v>
      </c>
      <c r="AA84" s="75" t="s">
        <v>185</v>
      </c>
      <c r="AB84" s="44">
        <v>0</v>
      </c>
    </row>
    <row r="85" spans="1:28" ht="14.25">
      <c r="A85" s="15">
        <f t="shared" si="16"/>
        <v>72</v>
      </c>
      <c r="B85" s="15" t="s">
        <v>321</v>
      </c>
      <c r="C85" s="16">
        <v>2020</v>
      </c>
      <c r="D85" s="75" t="s">
        <v>197</v>
      </c>
      <c r="E85" s="16" t="s">
        <v>295</v>
      </c>
      <c r="F85" s="17">
        <v>25</v>
      </c>
      <c r="G85" s="75" t="s">
        <v>109</v>
      </c>
      <c r="H85" s="75" t="s">
        <v>177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19900</v>
      </c>
      <c r="K85" s="38">
        <v>19900</v>
      </c>
      <c r="L85" s="36">
        <v>0.97</v>
      </c>
      <c r="M85" s="78">
        <f t="shared" si="17"/>
        <v>20515.463917525773</v>
      </c>
      <c r="N85" s="79">
        <f t="shared" si="18"/>
        <v>0.97000000000000008</v>
      </c>
      <c r="O85" s="80">
        <f t="shared" si="13"/>
        <v>0</v>
      </c>
      <c r="P85" s="19">
        <v>3225</v>
      </c>
      <c r="Q85" s="19">
        <v>0</v>
      </c>
      <c r="R85" s="81">
        <f t="shared" si="14"/>
        <v>3225</v>
      </c>
      <c r="S85" s="82">
        <f t="shared" si="19"/>
        <v>2.785007496251874</v>
      </c>
      <c r="T85" s="83" t="s">
        <v>216</v>
      </c>
      <c r="U85" s="83" t="s">
        <v>152</v>
      </c>
      <c r="V85" s="83" t="s">
        <v>155</v>
      </c>
      <c r="W85" s="113">
        <f t="shared" si="15"/>
        <v>30</v>
      </c>
      <c r="AA85" s="75" t="s">
        <v>177</v>
      </c>
      <c r="AB85" s="44"/>
    </row>
    <row r="86" spans="1:28" ht="14.25">
      <c r="A86" s="15">
        <f t="shared" si="16"/>
        <v>73</v>
      </c>
      <c r="B86" s="15" t="s">
        <v>322</v>
      </c>
      <c r="C86" s="16">
        <v>2020</v>
      </c>
      <c r="D86" s="75" t="s">
        <v>218</v>
      </c>
      <c r="E86" s="16" t="s">
        <v>299</v>
      </c>
      <c r="F86" s="17">
        <v>94</v>
      </c>
      <c r="G86" s="75" t="s">
        <v>109</v>
      </c>
      <c r="H86" s="75" t="s">
        <v>177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7">
        <v>29500</v>
      </c>
      <c r="K86" s="38">
        <v>29500</v>
      </c>
      <c r="L86" s="36">
        <v>0.9</v>
      </c>
      <c r="M86" s="78">
        <f t="shared" si="17"/>
        <v>32777.777777777774</v>
      </c>
      <c r="N86" s="79">
        <f t="shared" si="18"/>
        <v>0.90000000000000013</v>
      </c>
      <c r="O86" s="80">
        <f t="shared" si="13"/>
        <v>0</v>
      </c>
      <c r="P86" s="19">
        <v>-1279</v>
      </c>
      <c r="Q86" s="19">
        <v>0</v>
      </c>
      <c r="R86" s="81">
        <f t="shared" si="14"/>
        <v>-1279</v>
      </c>
      <c r="S86" s="82">
        <f t="shared" si="19"/>
        <v>-0.15914415258261885</v>
      </c>
      <c r="T86" s="83" t="s">
        <v>207</v>
      </c>
      <c r="U86" s="83" t="s">
        <v>152</v>
      </c>
      <c r="V86" s="83" t="s">
        <v>155</v>
      </c>
      <c r="W86" s="113">
        <f t="shared" si="15"/>
        <v>91</v>
      </c>
      <c r="AA86" s="75" t="s">
        <v>185</v>
      </c>
      <c r="AB86" s="44">
        <v>0</v>
      </c>
    </row>
    <row r="87" spans="1:28" ht="14.25">
      <c r="A87" s="15">
        <f t="shared" si="16"/>
        <v>74</v>
      </c>
      <c r="B87" s="15" t="s">
        <v>323</v>
      </c>
      <c r="C87" s="16">
        <v>2019</v>
      </c>
      <c r="D87" s="75" t="s">
        <v>197</v>
      </c>
      <c r="E87" s="16" t="s">
        <v>324</v>
      </c>
      <c r="F87" s="17">
        <v>25</v>
      </c>
      <c r="G87" s="75" t="s">
        <v>102</v>
      </c>
      <c r="H87" s="75" t="s">
        <v>185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>
        <v>15700</v>
      </c>
      <c r="K87" s="38">
        <v>28155</v>
      </c>
      <c r="L87" s="36">
        <v>0.96</v>
      </c>
      <c r="M87" s="78">
        <f t="shared" si="17"/>
        <v>16354.166666666668</v>
      </c>
      <c r="N87" s="79">
        <f t="shared" si="18"/>
        <v>1.7215796178343947</v>
      </c>
      <c r="O87" s="80">
        <f t="shared" si="13"/>
        <v>-12455</v>
      </c>
      <c r="P87" s="19">
        <v>3168</v>
      </c>
      <c r="Q87" s="19">
        <v>2555</v>
      </c>
      <c r="R87" s="81">
        <f t="shared" si="14"/>
        <v>5723</v>
      </c>
      <c r="S87" s="82">
        <f t="shared" si="19"/>
        <v>3.2981630447832875</v>
      </c>
      <c r="T87" s="83" t="s">
        <v>214</v>
      </c>
      <c r="U87" s="83" t="s">
        <v>152</v>
      </c>
      <c r="V87" s="83" t="s">
        <v>155</v>
      </c>
      <c r="W87" s="113">
        <f t="shared" si="15"/>
        <v>30</v>
      </c>
      <c r="AA87" s="75" t="s">
        <v>185</v>
      </c>
      <c r="AB87" s="44">
        <v>500</v>
      </c>
    </row>
    <row r="88" spans="1:28" ht="14.25">
      <c r="A88" s="15">
        <f t="shared" si="16"/>
        <v>75</v>
      </c>
      <c r="B88" s="15" t="s">
        <v>325</v>
      </c>
      <c r="C88" s="16">
        <v>2013</v>
      </c>
      <c r="D88" s="75" t="s">
        <v>326</v>
      </c>
      <c r="E88" s="16" t="s">
        <v>327</v>
      </c>
      <c r="F88" s="17">
        <v>48</v>
      </c>
      <c r="G88" s="75" t="s">
        <v>102</v>
      </c>
      <c r="H88" s="75" t="s">
        <v>177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No</v>
      </c>
      <c r="J88" s="37">
        <v>11500</v>
      </c>
      <c r="K88" s="37">
        <v>9646</v>
      </c>
      <c r="L88" s="35">
        <v>0.92</v>
      </c>
      <c r="M88" s="78">
        <f t="shared" si="17"/>
        <v>12500</v>
      </c>
      <c r="N88" s="79">
        <f t="shared" si="18"/>
        <v>0.77168000000000003</v>
      </c>
      <c r="O88" s="80">
        <f t="shared" si="13"/>
        <v>1854</v>
      </c>
      <c r="P88" s="19">
        <v>2914</v>
      </c>
      <c r="Q88" s="19">
        <v>0</v>
      </c>
      <c r="R88" s="81">
        <f t="shared" si="14"/>
        <v>2914</v>
      </c>
      <c r="S88" s="82">
        <f t="shared" si="19"/>
        <v>3.2464349376114083</v>
      </c>
      <c r="T88" s="83" t="s">
        <v>227</v>
      </c>
      <c r="U88" s="83" t="s">
        <v>152</v>
      </c>
      <c r="V88" s="83" t="s">
        <v>155</v>
      </c>
      <c r="W88" s="113">
        <f t="shared" si="15"/>
        <v>60</v>
      </c>
      <c r="AA88" s="75" t="s">
        <v>177</v>
      </c>
      <c r="AB88" s="44"/>
    </row>
    <row r="89" spans="1:28" ht="14.25">
      <c r="A89" s="15">
        <f t="shared" si="16"/>
        <v>76</v>
      </c>
      <c r="B89" s="15" t="s">
        <v>328</v>
      </c>
      <c r="C89" s="16">
        <v>2023</v>
      </c>
      <c r="D89" s="75" t="s">
        <v>197</v>
      </c>
      <c r="E89" s="16" t="s">
        <v>324</v>
      </c>
      <c r="F89" s="17">
        <v>41</v>
      </c>
      <c r="G89" s="75" t="s">
        <v>102</v>
      </c>
      <c r="H89" s="75" t="s">
        <v>185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7">
        <v>42000</v>
      </c>
      <c r="K89" s="38">
        <v>41699</v>
      </c>
      <c r="L89" s="36">
        <v>0.96</v>
      </c>
      <c r="M89" s="78">
        <f t="shared" si="17"/>
        <v>43750</v>
      </c>
      <c r="N89" s="79">
        <f t="shared" si="18"/>
        <v>0.95311999999999997</v>
      </c>
      <c r="O89" s="80">
        <f t="shared" si="13"/>
        <v>301</v>
      </c>
      <c r="P89" s="19">
        <v>1187</v>
      </c>
      <c r="Q89" s="19">
        <v>3588</v>
      </c>
      <c r="R89" s="81">
        <f t="shared" si="14"/>
        <v>4775</v>
      </c>
      <c r="S89" s="82">
        <f t="shared" si="19"/>
        <v>1.0349237082418219</v>
      </c>
      <c r="T89" s="83" t="s">
        <v>214</v>
      </c>
      <c r="U89" s="83" t="s">
        <v>152</v>
      </c>
      <c r="V89" s="83" t="s">
        <v>155</v>
      </c>
      <c r="W89" s="113">
        <f t="shared" si="15"/>
        <v>45</v>
      </c>
      <c r="AA89" s="75" t="s">
        <v>177</v>
      </c>
      <c r="AB89" s="44"/>
    </row>
    <row r="90" spans="1:28" ht="14.25">
      <c r="A90" s="15">
        <f t="shared" si="16"/>
        <v>77</v>
      </c>
      <c r="B90" s="15" t="s">
        <v>329</v>
      </c>
      <c r="C90" s="16">
        <v>2018</v>
      </c>
      <c r="D90" s="75" t="s">
        <v>197</v>
      </c>
      <c r="E90" s="16" t="s">
        <v>330</v>
      </c>
      <c r="F90" s="17">
        <v>30</v>
      </c>
      <c r="G90" s="75" t="s">
        <v>102</v>
      </c>
      <c r="H90" s="75" t="s">
        <v>177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>
        <v>16200</v>
      </c>
      <c r="K90" s="38">
        <v>16300</v>
      </c>
      <c r="L90" s="36">
        <v>0.95</v>
      </c>
      <c r="M90" s="78">
        <f t="shared" si="17"/>
        <v>17052.63157894737</v>
      </c>
      <c r="N90" s="79">
        <f t="shared" si="18"/>
        <v>0.95586419753086405</v>
      </c>
      <c r="O90" s="80">
        <f t="shared" si="13"/>
        <v>-100</v>
      </c>
      <c r="P90" s="19">
        <v>1628</v>
      </c>
      <c r="Q90" s="19">
        <v>250</v>
      </c>
      <c r="R90" s="81">
        <f t="shared" si="14"/>
        <v>1878</v>
      </c>
      <c r="S90" s="82">
        <f t="shared" si="19"/>
        <v>1.5359869138495092</v>
      </c>
      <c r="T90" s="83" t="s">
        <v>214</v>
      </c>
      <c r="U90" s="83" t="s">
        <v>152</v>
      </c>
      <c r="V90" s="83" t="s">
        <v>157</v>
      </c>
      <c r="W90" s="113">
        <f t="shared" si="15"/>
        <v>30</v>
      </c>
      <c r="AA90" s="75" t="s">
        <v>177</v>
      </c>
      <c r="AB90" s="44"/>
    </row>
    <row r="91" spans="1:28" ht="14.25">
      <c r="A91" s="15">
        <f t="shared" si="16"/>
        <v>78</v>
      </c>
      <c r="B91" s="15" t="s">
        <v>331</v>
      </c>
      <c r="C91" s="16">
        <v>2018</v>
      </c>
      <c r="D91" s="75" t="s">
        <v>240</v>
      </c>
      <c r="E91" s="16" t="s">
        <v>332</v>
      </c>
      <c r="F91" s="17">
        <v>12</v>
      </c>
      <c r="G91" s="75" t="s">
        <v>109</v>
      </c>
      <c r="H91" s="75" t="s">
        <v>177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7">
        <v>56000</v>
      </c>
      <c r="K91" s="37">
        <v>56030</v>
      </c>
      <c r="L91" s="35">
        <v>0.97</v>
      </c>
      <c r="M91" s="78">
        <f t="shared" si="17"/>
        <v>57731.958762886599</v>
      </c>
      <c r="N91" s="79">
        <f t="shared" si="18"/>
        <v>0.97051964285714287</v>
      </c>
      <c r="O91" s="80">
        <f t="shared" si="13"/>
        <v>-30</v>
      </c>
      <c r="P91" s="19">
        <v>609</v>
      </c>
      <c r="Q91" s="19">
        <v>5758</v>
      </c>
      <c r="R91" s="81">
        <f t="shared" si="14"/>
        <v>6367</v>
      </c>
      <c r="S91" s="82">
        <f t="shared" si="19"/>
        <v>3.4465274895797622</v>
      </c>
      <c r="T91" s="83" t="s">
        <v>216</v>
      </c>
      <c r="U91" s="83" t="s">
        <v>152</v>
      </c>
      <c r="V91" s="83" t="s">
        <v>157</v>
      </c>
      <c r="W91" s="113">
        <f t="shared" si="15"/>
        <v>30</v>
      </c>
      <c r="AA91" s="75" t="s">
        <v>177</v>
      </c>
      <c r="AB91" s="44"/>
    </row>
    <row r="92" spans="1:28" ht="14.25">
      <c r="A92" s="15">
        <f t="shared" si="16"/>
        <v>79</v>
      </c>
      <c r="B92" s="15" t="s">
        <v>333</v>
      </c>
      <c r="C92" s="16">
        <v>2013</v>
      </c>
      <c r="D92" s="75" t="s">
        <v>197</v>
      </c>
      <c r="E92" s="16" t="s">
        <v>267</v>
      </c>
      <c r="F92" s="17">
        <v>21</v>
      </c>
      <c r="G92" s="75" t="s">
        <v>102</v>
      </c>
      <c r="H92" s="75" t="s">
        <v>177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11500</v>
      </c>
      <c r="K92" s="37">
        <v>11253</v>
      </c>
      <c r="L92" s="35">
        <v>1</v>
      </c>
      <c r="M92" s="78">
        <f t="shared" si="17"/>
        <v>11500</v>
      </c>
      <c r="N92" s="79">
        <f t="shared" si="18"/>
        <v>0.97852173913043483</v>
      </c>
      <c r="O92" s="80">
        <f t="shared" si="13"/>
        <v>247</v>
      </c>
      <c r="P92" s="19">
        <v>1927</v>
      </c>
      <c r="Q92" s="19">
        <v>0</v>
      </c>
      <c r="R92" s="81">
        <f t="shared" si="14"/>
        <v>1927</v>
      </c>
      <c r="S92" s="82">
        <f t="shared" si="19"/>
        <v>3.5421708893722621</v>
      </c>
      <c r="T92" s="83" t="s">
        <v>214</v>
      </c>
      <c r="U92" s="83" t="s">
        <v>152</v>
      </c>
      <c r="V92" s="83" t="s">
        <v>156</v>
      </c>
      <c r="W92" s="113">
        <f t="shared" si="15"/>
        <v>30</v>
      </c>
      <c r="AA92" s="75" t="s">
        <v>177</v>
      </c>
      <c r="AB92" s="44"/>
    </row>
    <row r="93" spans="1:28" ht="14.25">
      <c r="A93" s="15">
        <f t="shared" si="16"/>
        <v>80</v>
      </c>
      <c r="B93" s="15" t="s">
        <v>334</v>
      </c>
      <c r="C93" s="16">
        <v>2016</v>
      </c>
      <c r="D93" s="75" t="s">
        <v>175</v>
      </c>
      <c r="E93" s="16" t="s">
        <v>187</v>
      </c>
      <c r="F93" s="17">
        <v>10</v>
      </c>
      <c r="G93" s="75" t="s">
        <v>109</v>
      </c>
      <c r="H93" s="75" t="s">
        <v>177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7">
        <v>16000</v>
      </c>
      <c r="K93" s="37">
        <v>15958</v>
      </c>
      <c r="L93" s="35">
        <v>1.01</v>
      </c>
      <c r="M93" s="78">
        <f t="shared" si="17"/>
        <v>15841.584158415841</v>
      </c>
      <c r="N93" s="79">
        <f t="shared" si="18"/>
        <v>1.00734875</v>
      </c>
      <c r="O93" s="80">
        <f t="shared" si="13"/>
        <v>42</v>
      </c>
      <c r="P93" s="19">
        <v>4577</v>
      </c>
      <c r="Q93" s="19">
        <v>0</v>
      </c>
      <c r="R93" s="81">
        <f t="shared" si="14"/>
        <v>4577</v>
      </c>
      <c r="S93" s="82">
        <f t="shared" si="19"/>
        <v>14.47781390036025</v>
      </c>
      <c r="T93" s="83" t="s">
        <v>207</v>
      </c>
      <c r="U93" s="83" t="s">
        <v>152</v>
      </c>
      <c r="V93" s="83" t="s">
        <v>156</v>
      </c>
      <c r="W93" s="113">
        <f t="shared" si="15"/>
        <v>30</v>
      </c>
      <c r="AA93" s="75" t="s">
        <v>177</v>
      </c>
      <c r="AB93" s="44"/>
    </row>
    <row r="94" spans="1:28" ht="14.25">
      <c r="A94" s="15">
        <f t="shared" si="16"/>
        <v>81</v>
      </c>
      <c r="B94" s="15" t="s">
        <v>335</v>
      </c>
      <c r="C94" s="16">
        <v>2021</v>
      </c>
      <c r="D94" s="75" t="s">
        <v>197</v>
      </c>
      <c r="E94" s="16" t="s">
        <v>336</v>
      </c>
      <c r="F94" s="17">
        <v>24</v>
      </c>
      <c r="G94" s="75" t="s">
        <v>118</v>
      </c>
      <c r="H94" s="75" t="s">
        <v>185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32000</v>
      </c>
      <c r="K94" s="38">
        <v>33000</v>
      </c>
      <c r="L94" s="36">
        <v>0.95</v>
      </c>
      <c r="M94" s="78">
        <f t="shared" si="17"/>
        <v>33684.210526315794</v>
      </c>
      <c r="N94" s="79">
        <f t="shared" si="18"/>
        <v>0.97968749999999982</v>
      </c>
      <c r="O94" s="80">
        <f t="shared" si="13"/>
        <v>-1000</v>
      </c>
      <c r="P94" s="19">
        <v>1656</v>
      </c>
      <c r="Q94" s="19">
        <v>1484</v>
      </c>
      <c r="R94" s="81">
        <f t="shared" si="14"/>
        <v>3140</v>
      </c>
      <c r="S94" s="82">
        <f t="shared" si="19"/>
        <v>1.5026799387442573</v>
      </c>
      <c r="T94" s="83" t="s">
        <v>337</v>
      </c>
      <c r="U94" s="83" t="s">
        <v>152</v>
      </c>
      <c r="V94" s="83" t="s">
        <v>155</v>
      </c>
      <c r="W94" s="113">
        <f t="shared" si="15"/>
        <v>30</v>
      </c>
      <c r="AA94" s="75" t="s">
        <v>177</v>
      </c>
      <c r="AB94" s="44"/>
    </row>
    <row r="95" spans="1:28" ht="14.25">
      <c r="A95" s="15">
        <f t="shared" si="16"/>
        <v>82</v>
      </c>
      <c r="B95" s="15" t="s">
        <v>338</v>
      </c>
      <c r="C95" s="16">
        <v>2019</v>
      </c>
      <c r="D95" s="75" t="s">
        <v>339</v>
      </c>
      <c r="E95" s="16" t="s">
        <v>340</v>
      </c>
      <c r="F95" s="17">
        <v>49</v>
      </c>
      <c r="G95" s="75" t="s">
        <v>109</v>
      </c>
      <c r="H95" s="75" t="s">
        <v>177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37">
        <v>22300</v>
      </c>
      <c r="K95" s="37">
        <v>22299</v>
      </c>
      <c r="L95" s="35">
        <v>0.9</v>
      </c>
      <c r="M95" s="78">
        <f t="shared" si="17"/>
        <v>24777.777777777777</v>
      </c>
      <c r="N95" s="79">
        <f t="shared" si="18"/>
        <v>0.89995964125560535</v>
      </c>
      <c r="O95" s="80">
        <f t="shared" si="13"/>
        <v>1</v>
      </c>
      <c r="P95" s="19">
        <v>2110</v>
      </c>
      <c r="Q95" s="19">
        <v>1396</v>
      </c>
      <c r="R95" s="81">
        <f t="shared" si="14"/>
        <v>3506</v>
      </c>
      <c r="S95" s="82">
        <f t="shared" si="19"/>
        <v>1.275861476395006</v>
      </c>
      <c r="T95" s="83" t="s">
        <v>337</v>
      </c>
      <c r="U95" s="83" t="s">
        <v>152</v>
      </c>
      <c r="V95" s="83" t="s">
        <v>155</v>
      </c>
      <c r="W95" s="113">
        <f t="shared" si="15"/>
        <v>60</v>
      </c>
      <c r="AA95" s="75" t="s">
        <v>177</v>
      </c>
      <c r="AB95" s="44"/>
    </row>
    <row r="96" spans="1:28" ht="14.25">
      <c r="A96" s="15">
        <f t="shared" si="16"/>
        <v>83</v>
      </c>
      <c r="B96" s="15" t="s">
        <v>341</v>
      </c>
      <c r="C96" s="16">
        <v>2019</v>
      </c>
      <c r="D96" s="75" t="s">
        <v>315</v>
      </c>
      <c r="E96" s="16">
        <v>1500</v>
      </c>
      <c r="F96" s="17">
        <v>44</v>
      </c>
      <c r="G96" s="75" t="s">
        <v>111</v>
      </c>
      <c r="H96" s="75" t="s">
        <v>177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No</v>
      </c>
      <c r="J96" s="37">
        <v>37500</v>
      </c>
      <c r="K96" s="38">
        <v>37000</v>
      </c>
      <c r="L96" s="36">
        <v>0.94</v>
      </c>
      <c r="M96" s="78">
        <f t="shared" si="17"/>
        <v>39893.617021276601</v>
      </c>
      <c r="N96" s="79">
        <f t="shared" si="18"/>
        <v>0.92746666666666655</v>
      </c>
      <c r="O96" s="80">
        <f t="shared" si="13"/>
        <v>500</v>
      </c>
      <c r="P96" s="19">
        <v>1046</v>
      </c>
      <c r="Q96" s="19">
        <v>81</v>
      </c>
      <c r="R96" s="81">
        <f t="shared" si="14"/>
        <v>1127</v>
      </c>
      <c r="S96" s="82">
        <f t="shared" si="19"/>
        <v>0.25646406772289843</v>
      </c>
      <c r="T96" s="83" t="s">
        <v>214</v>
      </c>
      <c r="U96" s="83" t="s">
        <v>152</v>
      </c>
      <c r="V96" s="83" t="s">
        <v>155</v>
      </c>
      <c r="W96" s="113">
        <f t="shared" si="15"/>
        <v>45</v>
      </c>
      <c r="AA96" s="75" t="s">
        <v>177</v>
      </c>
      <c r="AB96" s="44"/>
    </row>
    <row r="97" spans="1:28" ht="14.25">
      <c r="A97" s="15">
        <f t="shared" si="16"/>
        <v>84</v>
      </c>
      <c r="B97" s="15" t="s">
        <v>342</v>
      </c>
      <c r="C97" s="16">
        <v>2014</v>
      </c>
      <c r="D97" s="75" t="s">
        <v>343</v>
      </c>
      <c r="E97" s="16" t="s">
        <v>344</v>
      </c>
      <c r="F97" s="17">
        <v>125</v>
      </c>
      <c r="G97" s="75" t="s">
        <v>102</v>
      </c>
      <c r="H97" s="75" t="s">
        <v>177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7">
        <v>17900</v>
      </c>
      <c r="K97" s="38">
        <v>17530</v>
      </c>
      <c r="L97" s="36">
        <v>0.77</v>
      </c>
      <c r="M97" s="78">
        <f t="shared" si="17"/>
        <v>23246.753246753247</v>
      </c>
      <c r="N97" s="79">
        <f t="shared" si="18"/>
        <v>0.75408379888268151</v>
      </c>
      <c r="O97" s="80">
        <f t="shared" si="13"/>
        <v>370</v>
      </c>
      <c r="P97" s="19">
        <v>-542</v>
      </c>
      <c r="Q97" s="19">
        <v>1822</v>
      </c>
      <c r="R97" s="81">
        <f t="shared" si="14"/>
        <v>1280</v>
      </c>
      <c r="S97" s="82">
        <f t="shared" si="19"/>
        <v>0.2039840637450199</v>
      </c>
      <c r="T97" s="83" t="s">
        <v>207</v>
      </c>
      <c r="U97" s="83" t="s">
        <v>152</v>
      </c>
      <c r="V97" s="83" t="s">
        <v>155</v>
      </c>
      <c r="W97" s="113">
        <f t="shared" si="15"/>
        <v>91</v>
      </c>
      <c r="AA97" s="75" t="s">
        <v>185</v>
      </c>
      <c r="AB97" s="44">
        <v>0</v>
      </c>
    </row>
    <row r="98" spans="1:28" ht="14.25">
      <c r="A98" s="15">
        <f t="shared" si="16"/>
        <v>85</v>
      </c>
      <c r="B98" s="15" t="s">
        <v>345</v>
      </c>
      <c r="C98" s="16">
        <v>2018</v>
      </c>
      <c r="D98" s="75" t="s">
        <v>218</v>
      </c>
      <c r="E98" s="16" t="s">
        <v>346</v>
      </c>
      <c r="F98" s="17">
        <v>7</v>
      </c>
      <c r="G98" s="75" t="s">
        <v>111</v>
      </c>
      <c r="H98" s="75" t="s">
        <v>177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No</v>
      </c>
      <c r="J98" s="37">
        <v>36000</v>
      </c>
      <c r="K98" s="37">
        <v>35530</v>
      </c>
      <c r="L98" s="35">
        <v>1.01</v>
      </c>
      <c r="M98" s="78">
        <f t="shared" si="17"/>
        <v>35643.564356435643</v>
      </c>
      <c r="N98" s="79">
        <f t="shared" si="18"/>
        <v>0.99681388888888889</v>
      </c>
      <c r="O98" s="80">
        <f t="shared" si="13"/>
        <v>470</v>
      </c>
      <c r="P98" s="19">
        <v>2419</v>
      </c>
      <c r="Q98" s="19">
        <v>3058</v>
      </c>
      <c r="R98" s="81">
        <f t="shared" si="14"/>
        <v>5477</v>
      </c>
      <c r="S98" s="82">
        <f t="shared" si="19"/>
        <v>8.5069700617403807</v>
      </c>
      <c r="T98" s="83" t="s">
        <v>173</v>
      </c>
      <c r="U98" s="83" t="s">
        <v>152</v>
      </c>
      <c r="V98" s="83" t="s">
        <v>155</v>
      </c>
      <c r="W98" s="113">
        <f t="shared" si="15"/>
        <v>30</v>
      </c>
      <c r="AA98" s="75" t="s">
        <v>185</v>
      </c>
      <c r="AB98" s="44">
        <v>0</v>
      </c>
    </row>
    <row r="99" spans="1:28" ht="14.25">
      <c r="A99" s="15">
        <f t="shared" si="16"/>
        <v>86</v>
      </c>
      <c r="B99" s="15" t="s">
        <v>347</v>
      </c>
      <c r="C99" s="16">
        <v>2020</v>
      </c>
      <c r="D99" s="75" t="s">
        <v>197</v>
      </c>
      <c r="E99" s="16" t="s">
        <v>324</v>
      </c>
      <c r="F99" s="17">
        <v>4</v>
      </c>
      <c r="G99" s="75" t="s">
        <v>109</v>
      </c>
      <c r="H99" s="75" t="s">
        <v>177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26500</v>
      </c>
      <c r="K99" s="38">
        <v>25600</v>
      </c>
      <c r="L99" s="36">
        <v>1.01</v>
      </c>
      <c r="M99" s="78">
        <f t="shared" si="17"/>
        <v>26237.623762376239</v>
      </c>
      <c r="N99" s="79">
        <f t="shared" si="18"/>
        <v>0.97569811320754707</v>
      </c>
      <c r="O99" s="80">
        <f t="shared" si="13"/>
        <v>900</v>
      </c>
      <c r="P99" s="19">
        <v>1643</v>
      </c>
      <c r="Q99" s="19">
        <v>3661</v>
      </c>
      <c r="R99" s="81">
        <f t="shared" si="14"/>
        <v>5304</v>
      </c>
      <c r="S99" s="82">
        <f t="shared" si="19"/>
        <v>19.925700212881413</v>
      </c>
      <c r="T99" s="83" t="s">
        <v>207</v>
      </c>
      <c r="U99" s="83" t="s">
        <v>152</v>
      </c>
      <c r="V99" s="83" t="s">
        <v>155</v>
      </c>
      <c r="W99" s="113">
        <f t="shared" si="15"/>
        <v>30</v>
      </c>
      <c r="AA99" s="75" t="s">
        <v>177</v>
      </c>
      <c r="AB99" s="44"/>
    </row>
    <row r="100" spans="1:28" ht="14.25">
      <c r="A100" s="15">
        <f t="shared" si="16"/>
        <v>87</v>
      </c>
      <c r="B100" s="15" t="s">
        <v>348</v>
      </c>
      <c r="C100" s="16">
        <v>2018</v>
      </c>
      <c r="D100" s="75" t="s">
        <v>349</v>
      </c>
      <c r="E100" s="16" t="s">
        <v>350</v>
      </c>
      <c r="F100" s="17">
        <v>10</v>
      </c>
      <c r="G100" s="75" t="s">
        <v>111</v>
      </c>
      <c r="H100" s="75" t="s">
        <v>177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No</v>
      </c>
      <c r="J100" s="37">
        <v>30000</v>
      </c>
      <c r="K100" s="38">
        <v>29600</v>
      </c>
      <c r="L100" s="36">
        <v>0.97</v>
      </c>
      <c r="M100" s="78">
        <f t="shared" si="17"/>
        <v>30927.835051546394</v>
      </c>
      <c r="N100" s="79">
        <f t="shared" si="18"/>
        <v>0.95706666666666662</v>
      </c>
      <c r="O100" s="80">
        <f t="shared" si="13"/>
        <v>400</v>
      </c>
      <c r="P100" s="19">
        <v>3416</v>
      </c>
      <c r="Q100" s="19">
        <v>4017</v>
      </c>
      <c r="R100" s="81">
        <f t="shared" si="14"/>
        <v>7433</v>
      </c>
      <c r="S100" s="82">
        <f t="shared" si="19"/>
        <v>10.219523373052246</v>
      </c>
      <c r="T100" s="83" t="s">
        <v>227</v>
      </c>
      <c r="U100" s="83" t="s">
        <v>152</v>
      </c>
      <c r="V100" s="83" t="s">
        <v>155</v>
      </c>
      <c r="W100" s="113">
        <f t="shared" si="15"/>
        <v>30</v>
      </c>
      <c r="AA100" s="75" t="s">
        <v>177</v>
      </c>
      <c r="AB100" s="44"/>
    </row>
    <row r="101" spans="1:28" ht="14.25">
      <c r="A101" s="15">
        <f t="shared" si="16"/>
        <v>88</v>
      </c>
      <c r="B101" s="15" t="s">
        <v>351</v>
      </c>
      <c r="C101" s="16">
        <v>2008</v>
      </c>
      <c r="D101" s="75" t="s">
        <v>193</v>
      </c>
      <c r="E101" s="16" t="s">
        <v>209</v>
      </c>
      <c r="F101" s="17">
        <v>41</v>
      </c>
      <c r="G101" s="75" t="s">
        <v>102</v>
      </c>
      <c r="H101" s="75" t="s">
        <v>177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7">
        <v>6500</v>
      </c>
      <c r="K101" s="38">
        <v>6476</v>
      </c>
      <c r="L101" s="36">
        <v>0.93</v>
      </c>
      <c r="M101" s="78">
        <f t="shared" si="17"/>
        <v>6989.2473118279568</v>
      </c>
      <c r="N101" s="79">
        <f t="shared" si="18"/>
        <v>0.92656615384615393</v>
      </c>
      <c r="O101" s="80">
        <f t="shared" si="13"/>
        <v>24</v>
      </c>
      <c r="P101" s="19">
        <v>3213</v>
      </c>
      <c r="Q101" s="19">
        <v>0</v>
      </c>
      <c r="R101" s="81">
        <f t="shared" si="14"/>
        <v>3213</v>
      </c>
      <c r="S101" s="82">
        <f t="shared" si="19"/>
        <v>8.6459415620818802</v>
      </c>
      <c r="T101" s="83" t="s">
        <v>216</v>
      </c>
      <c r="U101" s="83" t="s">
        <v>152</v>
      </c>
      <c r="V101" s="83" t="s">
        <v>155</v>
      </c>
      <c r="W101" s="113">
        <f t="shared" si="15"/>
        <v>45</v>
      </c>
      <c r="AA101" s="75" t="s">
        <v>177</v>
      </c>
      <c r="AB101" s="44"/>
    </row>
    <row r="102" spans="1:28" ht="14.25">
      <c r="A102" s="15">
        <f t="shared" si="16"/>
        <v>89</v>
      </c>
      <c r="B102" s="15" t="s">
        <v>352</v>
      </c>
      <c r="C102" s="16">
        <v>2014</v>
      </c>
      <c r="D102" s="75" t="s">
        <v>315</v>
      </c>
      <c r="E102" s="16">
        <v>2500</v>
      </c>
      <c r="F102" s="17">
        <v>17</v>
      </c>
      <c r="G102" s="75" t="s">
        <v>111</v>
      </c>
      <c r="H102" s="75" t="s">
        <v>177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7">
        <v>39200</v>
      </c>
      <c r="K102" s="37">
        <v>39200</v>
      </c>
      <c r="L102" s="35">
        <v>1</v>
      </c>
      <c r="M102" s="78">
        <f t="shared" si="17"/>
        <v>39200</v>
      </c>
      <c r="N102" s="79">
        <f t="shared" si="18"/>
        <v>1</v>
      </c>
      <c r="O102" s="80">
        <f t="shared" si="13"/>
        <v>0</v>
      </c>
      <c r="P102" s="19">
        <v>3141</v>
      </c>
      <c r="Q102" s="19">
        <v>822</v>
      </c>
      <c r="R102" s="81">
        <f t="shared" si="14"/>
        <v>3963</v>
      </c>
      <c r="S102" s="82">
        <f t="shared" si="19"/>
        <v>2.327362182566806</v>
      </c>
      <c r="T102" s="83" t="s">
        <v>216</v>
      </c>
      <c r="U102" s="83" t="s">
        <v>152</v>
      </c>
      <c r="V102" s="83" t="s">
        <v>155</v>
      </c>
      <c r="W102" s="113">
        <f t="shared" si="15"/>
        <v>30</v>
      </c>
      <c r="AA102" s="75" t="s">
        <v>177</v>
      </c>
      <c r="AB102" s="44"/>
    </row>
    <row r="103" spans="1:28" ht="14.25">
      <c r="A103" s="15">
        <f t="shared" si="16"/>
        <v>90</v>
      </c>
      <c r="B103" s="15" t="s">
        <v>353</v>
      </c>
      <c r="C103" s="16">
        <v>2016</v>
      </c>
      <c r="D103" s="75" t="s">
        <v>181</v>
      </c>
      <c r="E103" s="16" t="s">
        <v>354</v>
      </c>
      <c r="F103" s="17">
        <v>38</v>
      </c>
      <c r="G103" s="75" t="s">
        <v>102</v>
      </c>
      <c r="H103" s="75" t="s">
        <v>177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No</v>
      </c>
      <c r="J103" s="37">
        <v>14000</v>
      </c>
      <c r="K103" s="38">
        <v>14000</v>
      </c>
      <c r="L103" s="36">
        <v>0.93</v>
      </c>
      <c r="M103" s="78">
        <f t="shared" si="17"/>
        <v>15053.763440860213</v>
      </c>
      <c r="N103" s="79">
        <f t="shared" si="18"/>
        <v>0.93</v>
      </c>
      <c r="O103" s="80">
        <f t="shared" si="13"/>
        <v>0</v>
      </c>
      <c r="P103" s="19">
        <v>233</v>
      </c>
      <c r="Q103" s="19">
        <v>875</v>
      </c>
      <c r="R103" s="81">
        <f t="shared" si="14"/>
        <v>1108</v>
      </c>
      <c r="S103" s="82">
        <f t="shared" si="19"/>
        <v>0.76246401578144529</v>
      </c>
      <c r="T103" s="83" t="s">
        <v>214</v>
      </c>
      <c r="U103" s="83" t="s">
        <v>152</v>
      </c>
      <c r="V103" s="83" t="s">
        <v>155</v>
      </c>
      <c r="W103" s="113">
        <f t="shared" si="15"/>
        <v>45</v>
      </c>
      <c r="AA103" s="75" t="s">
        <v>177</v>
      </c>
      <c r="AB103" s="44"/>
    </row>
    <row r="104" spans="1:28" ht="14.25">
      <c r="A104" s="15">
        <f t="shared" si="16"/>
        <v>91</v>
      </c>
      <c r="B104" s="15" t="s">
        <v>355</v>
      </c>
      <c r="C104" s="16">
        <v>2019</v>
      </c>
      <c r="D104" s="75" t="s">
        <v>23</v>
      </c>
      <c r="E104" s="16" t="s">
        <v>356</v>
      </c>
      <c r="F104" s="17">
        <v>16</v>
      </c>
      <c r="G104" s="75" t="s">
        <v>102</v>
      </c>
      <c r="H104" s="75" t="s">
        <v>177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37">
        <v>19500</v>
      </c>
      <c r="K104" s="37">
        <v>19030</v>
      </c>
      <c r="L104" s="35">
        <v>0.96</v>
      </c>
      <c r="M104" s="78">
        <f t="shared" si="17"/>
        <v>20312.5</v>
      </c>
      <c r="N104" s="79">
        <f t="shared" si="18"/>
        <v>0.93686153846153841</v>
      </c>
      <c r="O104" s="80">
        <f t="shared" si="13"/>
        <v>470</v>
      </c>
      <c r="P104" s="19">
        <v>821</v>
      </c>
      <c r="Q104" s="19">
        <v>457</v>
      </c>
      <c r="R104" s="81">
        <f t="shared" si="14"/>
        <v>1278</v>
      </c>
      <c r="S104" s="82">
        <f t="shared" si="19"/>
        <v>1.5791641495963535</v>
      </c>
      <c r="T104" s="83" t="s">
        <v>216</v>
      </c>
      <c r="U104" s="83" t="s">
        <v>152</v>
      </c>
      <c r="V104" s="83" t="s">
        <v>155</v>
      </c>
      <c r="W104" s="113">
        <f t="shared" si="15"/>
        <v>30</v>
      </c>
      <c r="AA104" s="75" t="s">
        <v>185</v>
      </c>
      <c r="AB104" s="44">
        <v>-150</v>
      </c>
    </row>
    <row r="105" spans="1:28" ht="14.25">
      <c r="A105" s="15">
        <f t="shared" si="16"/>
        <v>92</v>
      </c>
      <c r="B105" s="15" t="s">
        <v>357</v>
      </c>
      <c r="C105" s="16">
        <v>2023</v>
      </c>
      <c r="D105" s="75" t="s">
        <v>197</v>
      </c>
      <c r="E105" s="16" t="s">
        <v>229</v>
      </c>
      <c r="F105" s="17">
        <v>39</v>
      </c>
      <c r="G105" s="75" t="s">
        <v>102</v>
      </c>
      <c r="H105" s="75" t="s">
        <v>185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>
        <v>43000</v>
      </c>
      <c r="K105" s="37">
        <v>44000</v>
      </c>
      <c r="L105" s="35">
        <v>0.94</v>
      </c>
      <c r="M105" s="78">
        <f t="shared" si="17"/>
        <v>45744.680851063829</v>
      </c>
      <c r="N105" s="79">
        <f t="shared" si="18"/>
        <v>0.9618604651162791</v>
      </c>
      <c r="O105" s="80">
        <f t="shared" si="13"/>
        <v>-1000</v>
      </c>
      <c r="P105" s="19">
        <v>1094</v>
      </c>
      <c r="Q105" s="19">
        <v>9706</v>
      </c>
      <c r="R105" s="81">
        <f t="shared" si="14"/>
        <v>10800</v>
      </c>
      <c r="S105" s="82">
        <f t="shared" si="19"/>
        <v>2.3235050503963941</v>
      </c>
      <c r="T105" s="83" t="s">
        <v>227</v>
      </c>
      <c r="U105" s="83" t="s">
        <v>152</v>
      </c>
      <c r="V105" s="83" t="s">
        <v>155</v>
      </c>
      <c r="W105" s="113">
        <f t="shared" si="15"/>
        <v>45</v>
      </c>
      <c r="AA105" s="75" t="s">
        <v>177</v>
      </c>
      <c r="AB105" s="44"/>
    </row>
    <row r="106" spans="1:28" ht="14.25">
      <c r="A106" s="15">
        <f t="shared" si="16"/>
        <v>93</v>
      </c>
      <c r="B106" s="15" t="s">
        <v>358</v>
      </c>
      <c r="C106" s="16">
        <v>2015</v>
      </c>
      <c r="D106" s="75" t="s">
        <v>43</v>
      </c>
      <c r="E106" s="16" t="s">
        <v>267</v>
      </c>
      <c r="F106" s="17">
        <v>13</v>
      </c>
      <c r="G106" s="75" t="s">
        <v>111</v>
      </c>
      <c r="H106" s="75" t="s">
        <v>177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>
        <v>12800</v>
      </c>
      <c r="K106" s="37">
        <v>11711</v>
      </c>
      <c r="L106" s="35">
        <v>1</v>
      </c>
      <c r="M106" s="78">
        <f t="shared" si="17"/>
        <v>12800</v>
      </c>
      <c r="N106" s="79">
        <f t="shared" si="18"/>
        <v>0.914921875</v>
      </c>
      <c r="O106" s="80">
        <f t="shared" si="13"/>
        <v>1089</v>
      </c>
      <c r="P106" s="19">
        <v>2720</v>
      </c>
      <c r="Q106" s="19">
        <v>803</v>
      </c>
      <c r="R106" s="81">
        <f t="shared" si="14"/>
        <v>3523</v>
      </c>
      <c r="S106" s="82">
        <f t="shared" si="19"/>
        <v>10.850850850850852</v>
      </c>
      <c r="T106" s="83" t="s">
        <v>214</v>
      </c>
      <c r="U106" s="83" t="s">
        <v>152</v>
      </c>
      <c r="V106" s="83" t="s">
        <v>155</v>
      </c>
      <c r="W106" s="113">
        <f t="shared" si="15"/>
        <v>30</v>
      </c>
      <c r="AA106" s="75" t="s">
        <v>185</v>
      </c>
      <c r="AB106" s="44">
        <v>-400</v>
      </c>
    </row>
    <row r="107" spans="1:28" ht="14.25">
      <c r="A107" s="15">
        <f t="shared" si="16"/>
        <v>94</v>
      </c>
      <c r="B107" s="15" t="s">
        <v>359</v>
      </c>
      <c r="C107" s="16">
        <v>2020</v>
      </c>
      <c r="D107" s="75" t="s">
        <v>349</v>
      </c>
      <c r="E107" s="16" t="s">
        <v>350</v>
      </c>
      <c r="F107" s="17">
        <v>71</v>
      </c>
      <c r="G107" s="75" t="s">
        <v>111</v>
      </c>
      <c r="H107" s="75" t="s">
        <v>177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37">
        <v>31500</v>
      </c>
      <c r="K107" s="37">
        <v>31500</v>
      </c>
      <c r="L107" s="35">
        <v>0.91</v>
      </c>
      <c r="M107" s="78">
        <f t="shared" si="17"/>
        <v>34615.384615384617</v>
      </c>
      <c r="N107" s="79">
        <f t="shared" si="18"/>
        <v>0.90999999999999992</v>
      </c>
      <c r="O107" s="80">
        <f t="shared" si="13"/>
        <v>0</v>
      </c>
      <c r="P107" s="19">
        <v>-1632</v>
      </c>
      <c r="Q107" s="19">
        <v>2141</v>
      </c>
      <c r="R107" s="81">
        <f t="shared" si="14"/>
        <v>509</v>
      </c>
      <c r="S107" s="82">
        <f t="shared" si="19"/>
        <v>7.7895843004422774E-2</v>
      </c>
      <c r="T107" s="83" t="s">
        <v>207</v>
      </c>
      <c r="U107" s="83" t="s">
        <v>152</v>
      </c>
      <c r="V107" s="83" t="s">
        <v>155</v>
      </c>
      <c r="W107" s="113">
        <f t="shared" si="15"/>
        <v>90</v>
      </c>
      <c r="AA107" s="75" t="s">
        <v>185</v>
      </c>
      <c r="AB107" s="44">
        <v>500</v>
      </c>
    </row>
    <row r="108" spans="1:28" ht="14.25">
      <c r="A108" s="15">
        <f t="shared" si="16"/>
        <v>95</v>
      </c>
      <c r="B108" s="15" t="s">
        <v>360</v>
      </c>
      <c r="C108" s="16">
        <v>2023</v>
      </c>
      <c r="D108" s="75" t="s">
        <v>43</v>
      </c>
      <c r="E108" s="16" t="s">
        <v>267</v>
      </c>
      <c r="F108" s="17">
        <v>73</v>
      </c>
      <c r="G108" s="75" t="s">
        <v>102</v>
      </c>
      <c r="H108" s="75" t="s">
        <v>185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>
        <v>26900</v>
      </c>
      <c r="K108" s="37">
        <v>28299</v>
      </c>
      <c r="L108" s="35">
        <v>0.89</v>
      </c>
      <c r="M108" s="78">
        <f t="shared" si="17"/>
        <v>30224.719101123595</v>
      </c>
      <c r="N108" s="79">
        <f t="shared" si="18"/>
        <v>0.93628661710037175</v>
      </c>
      <c r="O108" s="80">
        <f t="shared" si="13"/>
        <v>-1399</v>
      </c>
      <c r="P108" s="19">
        <v>1064</v>
      </c>
      <c r="Q108" s="19">
        <v>3906</v>
      </c>
      <c r="R108" s="81">
        <f t="shared" si="14"/>
        <v>4970</v>
      </c>
      <c r="S108" s="82">
        <f t="shared" si="19"/>
        <v>0.89992983444449748</v>
      </c>
      <c r="T108" s="83" t="s">
        <v>214</v>
      </c>
      <c r="U108" s="83" t="s">
        <v>153</v>
      </c>
      <c r="V108" s="83" t="s">
        <v>155</v>
      </c>
      <c r="W108" s="113">
        <f t="shared" si="15"/>
        <v>90</v>
      </c>
      <c r="AA108" s="75" t="s">
        <v>185</v>
      </c>
      <c r="AB108" s="44">
        <v>500</v>
      </c>
    </row>
    <row r="109" spans="1:28" ht="14.25">
      <c r="A109" s="15">
        <f t="shared" si="16"/>
        <v>96</v>
      </c>
      <c r="B109" s="15" t="s">
        <v>361</v>
      </c>
      <c r="C109" s="16">
        <v>2018</v>
      </c>
      <c r="D109" s="75" t="s">
        <v>54</v>
      </c>
      <c r="E109" s="16" t="s">
        <v>262</v>
      </c>
      <c r="F109" s="17">
        <v>34</v>
      </c>
      <c r="G109" s="75" t="s">
        <v>109</v>
      </c>
      <c r="H109" s="75" t="s">
        <v>177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7">
        <v>21300</v>
      </c>
      <c r="K109" s="37">
        <v>21300</v>
      </c>
      <c r="L109" s="35">
        <v>0.99</v>
      </c>
      <c r="M109" s="78">
        <f t="shared" si="17"/>
        <v>21515.151515151516</v>
      </c>
      <c r="N109" s="79">
        <f t="shared" si="18"/>
        <v>0.99</v>
      </c>
      <c r="O109" s="80">
        <f t="shared" si="13"/>
        <v>0</v>
      </c>
      <c r="P109" s="19">
        <v>-75</v>
      </c>
      <c r="Q109" s="19">
        <v>1169</v>
      </c>
      <c r="R109" s="81">
        <f t="shared" si="14"/>
        <v>1094</v>
      </c>
      <c r="S109" s="82">
        <f t="shared" si="19"/>
        <v>0.54191950464396288</v>
      </c>
      <c r="T109" s="83" t="s">
        <v>216</v>
      </c>
      <c r="U109" s="83" t="s">
        <v>152</v>
      </c>
      <c r="V109" s="83" t="s">
        <v>155</v>
      </c>
      <c r="W109" s="113">
        <f t="shared" ref="W109:W140" si="20">IF(AND(F109&gt;0,F109&lt;=30),30,IF(AND(F109&gt;=31,F109&lt;=45),45,IF(AND(F109&gt;=46,F109&lt;=60),60,IF(AND(F109&gt;=61,F109&lt;=90),90,IF(F109&gt;=91,91,0)))))</f>
        <v>45</v>
      </c>
      <c r="AA109" s="75" t="s">
        <v>177</v>
      </c>
      <c r="AB109" s="44"/>
    </row>
    <row r="110" spans="1:28" ht="14.25">
      <c r="A110" s="15">
        <f t="shared" si="16"/>
        <v>97</v>
      </c>
      <c r="B110" s="15" t="s">
        <v>362</v>
      </c>
      <c r="C110" s="16">
        <v>2022</v>
      </c>
      <c r="D110" s="75" t="s">
        <v>43</v>
      </c>
      <c r="E110" s="16" t="s">
        <v>229</v>
      </c>
      <c r="F110" s="17">
        <v>19</v>
      </c>
      <c r="G110" s="75" t="s">
        <v>102</v>
      </c>
      <c r="H110" s="75" t="s">
        <v>185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>
        <v>32700</v>
      </c>
      <c r="K110" s="37">
        <v>33385</v>
      </c>
      <c r="L110" s="35">
        <v>0.98</v>
      </c>
      <c r="M110" s="78">
        <f t="shared" si="17"/>
        <v>33367.34693877551</v>
      </c>
      <c r="N110" s="79">
        <f t="shared" si="18"/>
        <v>1.0005290519877676</v>
      </c>
      <c r="O110" s="80">
        <f t="shared" si="13"/>
        <v>-685</v>
      </c>
      <c r="P110" s="19">
        <v>1190</v>
      </c>
      <c r="Q110" s="19">
        <v>4136</v>
      </c>
      <c r="R110" s="81">
        <f t="shared" si="14"/>
        <v>5326</v>
      </c>
      <c r="S110" s="82">
        <f t="shared" si="19"/>
        <v>3.1344520643120455</v>
      </c>
      <c r="T110" s="83" t="s">
        <v>253</v>
      </c>
      <c r="U110" s="83" t="s">
        <v>152</v>
      </c>
      <c r="V110" s="83" t="s">
        <v>155</v>
      </c>
      <c r="W110" s="113">
        <f t="shared" si="20"/>
        <v>30</v>
      </c>
      <c r="AA110" s="75" t="s">
        <v>185</v>
      </c>
      <c r="AB110" s="44">
        <v>0</v>
      </c>
    </row>
    <row r="111" spans="1:28" ht="14.25">
      <c r="A111" s="15">
        <f t="shared" si="16"/>
        <v>98</v>
      </c>
      <c r="B111" s="15" t="s">
        <v>364</v>
      </c>
      <c r="C111" s="16">
        <v>2017</v>
      </c>
      <c r="D111" s="75" t="s">
        <v>343</v>
      </c>
      <c r="E111" s="16" t="s">
        <v>363</v>
      </c>
      <c r="F111" s="17">
        <v>56</v>
      </c>
      <c r="G111" s="75" t="s">
        <v>102</v>
      </c>
      <c r="H111" s="75" t="s">
        <v>177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No</v>
      </c>
      <c r="J111" s="37">
        <v>24200</v>
      </c>
      <c r="K111" s="37">
        <v>24520</v>
      </c>
      <c r="L111" s="35">
        <v>0.98</v>
      </c>
      <c r="M111" s="78">
        <f t="shared" si="17"/>
        <v>24693.877551020407</v>
      </c>
      <c r="N111" s="79">
        <f t="shared" si="18"/>
        <v>0.99295867768595047</v>
      </c>
      <c r="O111" s="80">
        <f t="shared" si="13"/>
        <v>-320</v>
      </c>
      <c r="P111" s="19">
        <v>724</v>
      </c>
      <c r="Q111" s="19">
        <v>3873</v>
      </c>
      <c r="R111" s="81">
        <f t="shared" si="14"/>
        <v>4597</v>
      </c>
      <c r="S111" s="82">
        <f t="shared" si="19"/>
        <v>1.2418953965852604</v>
      </c>
      <c r="T111" s="83" t="s">
        <v>235</v>
      </c>
      <c r="U111" s="83" t="s">
        <v>152</v>
      </c>
      <c r="V111" s="83" t="s">
        <v>155</v>
      </c>
      <c r="W111" s="113">
        <f t="shared" si="20"/>
        <v>60</v>
      </c>
      <c r="AA111" s="75" t="s">
        <v>177</v>
      </c>
      <c r="AB111" s="44"/>
    </row>
    <row r="112" spans="1:28" ht="14.25">
      <c r="A112" s="15">
        <f t="shared" si="16"/>
        <v>99</v>
      </c>
      <c r="B112" s="15" t="s">
        <v>365</v>
      </c>
      <c r="C112" s="16">
        <v>2017</v>
      </c>
      <c r="D112" s="75" t="s">
        <v>43</v>
      </c>
      <c r="E112" s="16" t="s">
        <v>366</v>
      </c>
      <c r="F112" s="17">
        <v>18</v>
      </c>
      <c r="G112" s="75" t="s">
        <v>102</v>
      </c>
      <c r="H112" s="75" t="s">
        <v>177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11900</v>
      </c>
      <c r="K112" s="37">
        <v>11895</v>
      </c>
      <c r="L112" s="35">
        <v>0.97</v>
      </c>
      <c r="M112" s="78">
        <f t="shared" si="17"/>
        <v>12268.041237113403</v>
      </c>
      <c r="N112" s="79">
        <f t="shared" si="18"/>
        <v>0.96959243697478992</v>
      </c>
      <c r="O112" s="80">
        <f t="shared" si="13"/>
        <v>5</v>
      </c>
      <c r="P112" s="19">
        <v>392</v>
      </c>
      <c r="Q112" s="19">
        <v>1280</v>
      </c>
      <c r="R112" s="81">
        <f t="shared" si="14"/>
        <v>1672</v>
      </c>
      <c r="S112" s="82">
        <f t="shared" si="19"/>
        <v>2.9070677214639664</v>
      </c>
      <c r="T112" s="83" t="s">
        <v>163</v>
      </c>
      <c r="U112" s="83" t="s">
        <v>153</v>
      </c>
      <c r="V112" s="83" t="s">
        <v>155</v>
      </c>
      <c r="W112" s="113">
        <f t="shared" si="20"/>
        <v>30</v>
      </c>
      <c r="AA112" s="75" t="s">
        <v>185</v>
      </c>
      <c r="AB112" s="44">
        <v>0</v>
      </c>
    </row>
    <row r="113" spans="1:28" ht="14.25">
      <c r="A113" s="15">
        <f t="shared" si="16"/>
        <v>100</v>
      </c>
      <c r="B113" s="15" t="s">
        <v>367</v>
      </c>
      <c r="C113" s="16">
        <v>2011</v>
      </c>
      <c r="D113" s="75" t="s">
        <v>54</v>
      </c>
      <c r="E113" s="16" t="s">
        <v>368</v>
      </c>
      <c r="F113" s="17">
        <v>9</v>
      </c>
      <c r="G113" s="75" t="s">
        <v>111</v>
      </c>
      <c r="H113" s="75" t="s">
        <v>177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7">
        <v>15500</v>
      </c>
      <c r="K113" s="37">
        <v>15899</v>
      </c>
      <c r="L113" s="35">
        <v>1</v>
      </c>
      <c r="M113" s="78">
        <f t="shared" si="17"/>
        <v>15500</v>
      </c>
      <c r="N113" s="79">
        <f t="shared" si="18"/>
        <v>1.025741935483871</v>
      </c>
      <c r="O113" s="80">
        <f t="shared" si="13"/>
        <v>-399</v>
      </c>
      <c r="P113" s="19">
        <v>5515</v>
      </c>
      <c r="Q113" s="19">
        <v>1292</v>
      </c>
      <c r="R113" s="81">
        <f t="shared" si="14"/>
        <v>6807</v>
      </c>
      <c r="S113" s="82">
        <f t="shared" si="19"/>
        <v>26.221109399075502</v>
      </c>
      <c r="T113" s="83" t="s">
        <v>227</v>
      </c>
      <c r="U113" s="83" t="s">
        <v>152</v>
      </c>
      <c r="V113" s="83" t="s">
        <v>155</v>
      </c>
      <c r="W113" s="113">
        <f t="shared" si="20"/>
        <v>30</v>
      </c>
      <c r="AA113" s="75" t="s">
        <v>177</v>
      </c>
      <c r="AB113" s="44"/>
    </row>
    <row r="114" spans="1:28" ht="14.25">
      <c r="A114" s="15">
        <f t="shared" si="16"/>
        <v>101</v>
      </c>
      <c r="B114" s="15" t="s">
        <v>369</v>
      </c>
      <c r="C114" s="16">
        <v>2021</v>
      </c>
      <c r="D114" s="75" t="s">
        <v>175</v>
      </c>
      <c r="E114" s="16" t="s">
        <v>247</v>
      </c>
      <c r="F114" s="17">
        <v>14</v>
      </c>
      <c r="G114" s="75" t="s">
        <v>109</v>
      </c>
      <c r="H114" s="75" t="s">
        <v>177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37">
        <v>19900</v>
      </c>
      <c r="K114" s="37">
        <v>18331</v>
      </c>
      <c r="L114" s="35">
        <v>0.96</v>
      </c>
      <c r="M114" s="78">
        <f t="shared" si="17"/>
        <v>20729.166666666668</v>
      </c>
      <c r="N114" s="79">
        <f t="shared" si="18"/>
        <v>0.88430954773869341</v>
      </c>
      <c r="O114" s="80">
        <f t="shared" si="13"/>
        <v>1569</v>
      </c>
      <c r="P114" s="19">
        <v>304</v>
      </c>
      <c r="Q114" s="19">
        <v>1389</v>
      </c>
      <c r="R114" s="81">
        <f t="shared" si="14"/>
        <v>1693</v>
      </c>
      <c r="S114" s="82">
        <f t="shared" si="19"/>
        <v>2.4149490050638329</v>
      </c>
      <c r="T114" s="83" t="s">
        <v>161</v>
      </c>
      <c r="U114" s="83" t="s">
        <v>152</v>
      </c>
      <c r="V114" s="83" t="s">
        <v>155</v>
      </c>
      <c r="W114" s="113">
        <f t="shared" si="20"/>
        <v>30</v>
      </c>
      <c r="AA114" s="75" t="s">
        <v>177</v>
      </c>
      <c r="AB114" s="44"/>
    </row>
    <row r="115" spans="1:28" ht="14.25">
      <c r="A115" s="15">
        <f t="shared" si="16"/>
        <v>102</v>
      </c>
      <c r="B115" s="15" t="s">
        <v>370</v>
      </c>
      <c r="C115" s="16">
        <v>2020</v>
      </c>
      <c r="D115" s="75" t="s">
        <v>43</v>
      </c>
      <c r="E115" s="16" t="s">
        <v>324</v>
      </c>
      <c r="F115" s="17">
        <v>34</v>
      </c>
      <c r="G115" s="75" t="s">
        <v>108</v>
      </c>
      <c r="H115" s="75" t="s">
        <v>185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>
        <v>22400</v>
      </c>
      <c r="K115" s="37">
        <v>24099</v>
      </c>
      <c r="L115" s="35">
        <v>0.98</v>
      </c>
      <c r="M115" s="78">
        <f t="shared" si="17"/>
        <v>22857.142857142859</v>
      </c>
      <c r="N115" s="79">
        <f t="shared" si="18"/>
        <v>1.0543312499999999</v>
      </c>
      <c r="O115" s="80">
        <f t="shared" si="13"/>
        <v>-1699</v>
      </c>
      <c r="P115" s="19">
        <v>4895</v>
      </c>
      <c r="Q115" s="19">
        <v>3301</v>
      </c>
      <c r="R115" s="81">
        <f t="shared" si="14"/>
        <v>8196</v>
      </c>
      <c r="S115" s="82">
        <f t="shared" si="19"/>
        <v>4.5189115012803702</v>
      </c>
      <c r="T115" s="83" t="s">
        <v>163</v>
      </c>
      <c r="U115" s="83" t="s">
        <v>152</v>
      </c>
      <c r="V115" s="83" t="s">
        <v>155</v>
      </c>
      <c r="W115" s="113">
        <f t="shared" si="20"/>
        <v>45</v>
      </c>
      <c r="AA115" s="75" t="s">
        <v>185</v>
      </c>
      <c r="AB115" s="44">
        <v>0</v>
      </c>
    </row>
    <row r="116" spans="1:28" ht="14.25">
      <c r="A116" s="15">
        <f t="shared" si="16"/>
        <v>103</v>
      </c>
      <c r="B116" s="15" t="s">
        <v>371</v>
      </c>
      <c r="C116" s="16">
        <v>2021</v>
      </c>
      <c r="D116" s="75" t="s">
        <v>197</v>
      </c>
      <c r="E116" s="16" t="s">
        <v>267</v>
      </c>
      <c r="F116" s="17">
        <v>51</v>
      </c>
      <c r="G116" s="75" t="s">
        <v>102</v>
      </c>
      <c r="H116" s="75" t="s">
        <v>185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7">
        <v>25700</v>
      </c>
      <c r="K116" s="37">
        <v>26300</v>
      </c>
      <c r="L116" s="35">
        <v>0.93</v>
      </c>
      <c r="M116" s="78">
        <f t="shared" si="17"/>
        <v>27634.408602150535</v>
      </c>
      <c r="N116" s="79">
        <f t="shared" si="18"/>
        <v>0.95171206225680938</v>
      </c>
      <c r="O116" s="80">
        <f t="shared" si="13"/>
        <v>-600</v>
      </c>
      <c r="P116" s="19">
        <v>-619</v>
      </c>
      <c r="Q116" s="19">
        <v>1924</v>
      </c>
      <c r="R116" s="81">
        <f t="shared" si="14"/>
        <v>1305</v>
      </c>
      <c r="S116" s="82">
        <f t="shared" si="19"/>
        <v>0.34220307982771841</v>
      </c>
      <c r="T116" s="83" t="s">
        <v>227</v>
      </c>
      <c r="U116" s="83" t="s">
        <v>152</v>
      </c>
      <c r="V116" s="83" t="s">
        <v>155</v>
      </c>
      <c r="W116" s="113">
        <f t="shared" si="20"/>
        <v>60</v>
      </c>
      <c r="AA116" s="75" t="s">
        <v>177</v>
      </c>
      <c r="AB116" s="44"/>
    </row>
    <row r="117" spans="1:28" ht="14.25">
      <c r="A117" s="15">
        <f t="shared" si="16"/>
        <v>104</v>
      </c>
      <c r="B117" s="15" t="s">
        <v>372</v>
      </c>
      <c r="C117" s="16">
        <v>2017</v>
      </c>
      <c r="D117" s="75" t="s">
        <v>255</v>
      </c>
      <c r="E117" s="16" t="s">
        <v>373</v>
      </c>
      <c r="F117" s="17">
        <v>51</v>
      </c>
      <c r="G117" s="75" t="s">
        <v>109</v>
      </c>
      <c r="H117" s="75" t="s">
        <v>177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No</v>
      </c>
      <c r="J117" s="37">
        <v>16000</v>
      </c>
      <c r="K117" s="37">
        <v>16000</v>
      </c>
      <c r="L117" s="35">
        <v>0.93</v>
      </c>
      <c r="M117" s="78">
        <f t="shared" si="17"/>
        <v>17204.301075268817</v>
      </c>
      <c r="N117" s="79">
        <f t="shared" si="18"/>
        <v>0.93</v>
      </c>
      <c r="O117" s="80">
        <f t="shared" si="13"/>
        <v>0</v>
      </c>
      <c r="P117" s="19">
        <v>-520</v>
      </c>
      <c r="Q117" s="19">
        <v>1316</v>
      </c>
      <c r="R117" s="81">
        <f t="shared" si="14"/>
        <v>796</v>
      </c>
      <c r="S117" s="82">
        <f t="shared" si="19"/>
        <v>0.34012248967383563</v>
      </c>
      <c r="T117" s="83" t="s">
        <v>162</v>
      </c>
      <c r="U117" s="83" t="s">
        <v>152</v>
      </c>
      <c r="V117" s="83" t="s">
        <v>155</v>
      </c>
      <c r="W117" s="113">
        <f t="shared" si="20"/>
        <v>60</v>
      </c>
      <c r="AA117" s="75" t="s">
        <v>177</v>
      </c>
      <c r="AB117" s="44"/>
    </row>
    <row r="118" spans="1:28" ht="14.25">
      <c r="A118" s="15">
        <f t="shared" si="16"/>
        <v>105</v>
      </c>
      <c r="B118" s="15" t="s">
        <v>374</v>
      </c>
      <c r="C118" s="16">
        <v>2018</v>
      </c>
      <c r="D118" s="75" t="s">
        <v>193</v>
      </c>
      <c r="E118" s="16" t="s">
        <v>275</v>
      </c>
      <c r="F118" s="17">
        <v>26</v>
      </c>
      <c r="G118" s="75" t="s">
        <v>102</v>
      </c>
      <c r="H118" s="75" t="s">
        <v>177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7">
        <v>20000</v>
      </c>
      <c r="K118" s="37">
        <v>20000</v>
      </c>
      <c r="L118" s="35">
        <v>0.97</v>
      </c>
      <c r="M118" s="78">
        <f t="shared" si="17"/>
        <v>20618.556701030928</v>
      </c>
      <c r="N118" s="79">
        <f t="shared" si="18"/>
        <v>0.97</v>
      </c>
      <c r="O118" s="80">
        <f t="shared" si="13"/>
        <v>0</v>
      </c>
      <c r="P118" s="19">
        <v>4277</v>
      </c>
      <c r="Q118" s="19">
        <v>0</v>
      </c>
      <c r="R118" s="81">
        <f t="shared" si="14"/>
        <v>4277</v>
      </c>
      <c r="S118" s="82">
        <f t="shared" si="19"/>
        <v>3.7664567830566686</v>
      </c>
      <c r="T118" s="83" t="s">
        <v>227</v>
      </c>
      <c r="U118" s="83" t="s">
        <v>152</v>
      </c>
      <c r="V118" s="83" t="s">
        <v>156</v>
      </c>
      <c r="W118" s="113">
        <f t="shared" si="20"/>
        <v>30</v>
      </c>
      <c r="AA118" s="75" t="s">
        <v>185</v>
      </c>
      <c r="AB118" s="44">
        <v>2000</v>
      </c>
    </row>
    <row r="119" spans="1:28" ht="14.2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4.2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4.2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4.2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4.2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4.2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4.2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4.2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4.2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4.2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4.2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4.2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4.2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4.2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4.2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4.2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4.2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4.2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4.2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4.2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4.2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4.2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4.2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4.2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4.2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4.2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4.2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4.2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4.2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4.2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4.2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4.2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4.2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4.2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4.2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4.2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4.2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4.2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4.2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4.2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4.2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4.2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4.2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4.2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4.2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4.2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4.2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4.2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4.2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4.2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4.2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4.2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4.2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4.2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4.2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4.2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4.2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4.2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4.2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4.2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4.2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4.2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4.2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4.2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4.2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4.2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4.2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4.2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4.2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4.2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4.2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4.2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4.2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4.2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4.2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4.2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4.2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4.2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4.2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4.2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4.2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4.2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4.2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4.2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4.2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4.2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4.2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4.2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4.2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4.2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4.2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4.2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4.2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4.2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ht="14.65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149999999999999" thickBot="1">
      <c r="A214" s="85" t="s">
        <v>120</v>
      </c>
      <c r="B214" s="86"/>
      <c r="C214" s="87"/>
      <c r="D214" s="88">
        <f>COUNTA(D14:D213)</f>
        <v>105</v>
      </c>
      <c r="E214" s="89" t="s">
        <v>121</v>
      </c>
      <c r="F214" s="90">
        <f>AVERAGE(F14:F213)</f>
        <v>35.390476190476193</v>
      </c>
      <c r="G214" s="91"/>
      <c r="H214" s="91"/>
      <c r="I214" s="92">
        <f>COUNTIF(I14:I213,"No")</f>
        <v>56</v>
      </c>
      <c r="J214" s="93">
        <f>AVERAGEIF(J14:J213,"&lt;&gt;BLANK")</f>
        <v>23458.047619047618</v>
      </c>
      <c r="K214" s="94">
        <f>AVERAGEIF(K14:K213,"&lt;&gt;BLANK")</f>
        <v>23505.971428571429</v>
      </c>
      <c r="L214" s="95">
        <f>AVERAGEIF(L14:L213,"&lt;&gt;BLANK")</f>
        <v>0.95933333333333359</v>
      </c>
      <c r="M214" s="94">
        <f>J214/L214</f>
        <v>24452.447135907863</v>
      </c>
      <c r="N214" s="96">
        <f t="shared" ref="N214" si="36">K214/M214</f>
        <v>0.96129321118349109</v>
      </c>
      <c r="O214" s="94">
        <f>AVERAGEIF(O14:O213,"&lt;&gt;BLANK")</f>
        <v>-47.923809523809524</v>
      </c>
      <c r="P214" s="94">
        <f>AVERAGEIF(P14:P213,"&lt;&gt;BLANK")</f>
        <v>1959.2952380952381</v>
      </c>
      <c r="Q214" s="94">
        <f>AVERAGEIF(Q14:Q213,"&lt;&gt;BLANK")</f>
        <v>1546.7211538461538</v>
      </c>
      <c r="R214" s="97">
        <f>AVERAGEIF(R14:R213,"&lt;&gt;BLANK")</f>
        <v>3491.2857142857142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36</v>
      </c>
      <c r="AB214" s="101">
        <f>AVERAGEIF(AB14:AB213,"&lt;&gt;BLANK")</f>
        <v>86.416666666666671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4.25"/>
  <cols>
    <col min="1" max="1" width="36.59765625" customWidth="1"/>
    <col min="2" max="2" width="11.59765625" bestFit="1" customWidth="1"/>
    <col min="3" max="3" width="9" customWidth="1"/>
  </cols>
  <sheetData>
    <row r="1" spans="1:2" ht="22.5" customHeight="1">
      <c r="A1" s="33" t="s">
        <v>122</v>
      </c>
    </row>
    <row r="2" spans="1:2" ht="22.5" customHeight="1">
      <c r="A2" s="5" t="s">
        <v>123</v>
      </c>
      <c r="B2" s="14">
        <f>'Sales Log'!I214/'Scoreboard Total'!B3</f>
        <v>0.53333333333333333</v>
      </c>
    </row>
    <row r="3" spans="1:2" ht="22.5" customHeight="1">
      <c r="A3" s="5" t="s">
        <v>124</v>
      </c>
      <c r="B3" s="6">
        <f>'Sales Log'!D214</f>
        <v>105</v>
      </c>
    </row>
    <row r="4" spans="1:2" ht="21.75" customHeight="1">
      <c r="A4" s="5" t="s">
        <v>125</v>
      </c>
      <c r="B4" s="7">
        <f>'Sales Log'!$F$214</f>
        <v>35.390476190476193</v>
      </c>
    </row>
    <row r="5" spans="1:2" ht="22.5" customHeight="1">
      <c r="A5" s="5" t="s">
        <v>126</v>
      </c>
      <c r="B5" s="8">
        <f>'Sales Log'!$J$214</f>
        <v>23458.047619047618</v>
      </c>
    </row>
    <row r="6" spans="1:2" ht="22.5" customHeight="1">
      <c r="A6" s="5" t="s">
        <v>127</v>
      </c>
      <c r="B6" s="8">
        <f>'Sales Log'!$K$214</f>
        <v>23505.971428571429</v>
      </c>
    </row>
    <row r="7" spans="1:2" ht="22.5" customHeight="1">
      <c r="A7" s="5" t="s">
        <v>128</v>
      </c>
      <c r="B7" s="8">
        <f>'Sales Log'!$M$214</f>
        <v>24452.447135907863</v>
      </c>
    </row>
    <row r="8" spans="1:2" ht="22.5" customHeight="1">
      <c r="A8" s="5" t="s">
        <v>129</v>
      </c>
      <c r="B8" s="9">
        <f>'Sales Log'!L214</f>
        <v>0.95933333333333359</v>
      </c>
    </row>
    <row r="9" spans="1:2" ht="22.5" customHeight="1">
      <c r="A9" s="5" t="s">
        <v>130</v>
      </c>
      <c r="B9" s="9">
        <f>'Sales Log'!$N$214</f>
        <v>0.96129321118349109</v>
      </c>
    </row>
    <row r="10" spans="1:2" ht="22.5" customHeight="1">
      <c r="A10" s="5" t="s">
        <v>131</v>
      </c>
      <c r="B10" s="8">
        <f>'Sales Log'!$O$214</f>
        <v>-47.923809523809524</v>
      </c>
    </row>
    <row r="11" spans="1:2" ht="22.5" customHeight="1">
      <c r="A11" s="5" t="s">
        <v>132</v>
      </c>
      <c r="B11" s="8">
        <f>'Sales Log'!$P$214</f>
        <v>1959.2952380952381</v>
      </c>
    </row>
    <row r="12" spans="1:2" ht="22.5" customHeight="1">
      <c r="A12" s="5" t="s">
        <v>133</v>
      </c>
      <c r="B12" s="8">
        <f>'Sales Log'!$Q$214</f>
        <v>1546.7211538461538</v>
      </c>
    </row>
    <row r="13" spans="1:2" ht="22.5" customHeight="1">
      <c r="A13" s="5" t="s">
        <v>134</v>
      </c>
      <c r="B13" s="8">
        <f>'Sales Log'!$R$214</f>
        <v>3491.2857142857142</v>
      </c>
    </row>
    <row r="14" spans="1:2" ht="21.75" customHeight="1">
      <c r="A14" s="5" t="s">
        <v>135</v>
      </c>
      <c r="B14" s="10">
        <f>B13*B3</f>
        <v>366585</v>
      </c>
    </row>
    <row r="15" spans="1:2" ht="21.75" customHeight="1">
      <c r="A15" s="5" t="s">
        <v>89</v>
      </c>
      <c r="B15" s="9">
        <f>(B13/(B6)*(360/B4))</f>
        <v>1.5108567247816356</v>
      </c>
    </row>
    <row r="16" spans="1:2" ht="21.75" customHeight="1">
      <c r="A16" s="5" t="s">
        <v>136</v>
      </c>
      <c r="B16" s="9">
        <f>'Sales Log'!AA214/'Scoreboard Total'!B3</f>
        <v>0.34285714285714286</v>
      </c>
    </row>
    <row r="17" spans="1:2" ht="21.75" customHeight="1">
      <c r="A17" s="5" t="s">
        <v>137</v>
      </c>
      <c r="B17" s="45">
        <f>'Sales Log'!$AB$214</f>
        <v>86.416666666666671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H2" sqref="H2"/>
    </sheetView>
  </sheetViews>
  <sheetFormatPr defaultRowHeight="14.25"/>
  <cols>
    <col min="1" max="1" width="37.73046875" bestFit="1" customWidth="1"/>
    <col min="2" max="2" width="13.3984375" customWidth="1"/>
    <col min="3" max="13" width="19.73046875" customWidth="1"/>
  </cols>
  <sheetData>
    <row r="1" spans="1:13" ht="22.5" customHeight="1">
      <c r="A1" s="20" t="s">
        <v>138</v>
      </c>
      <c r="B1" s="21"/>
      <c r="C1" s="43" t="s">
        <v>139</v>
      </c>
    </row>
    <row r="2" spans="1:13" ht="22.5" customHeight="1">
      <c r="A2" s="22" t="s">
        <v>91</v>
      </c>
      <c r="B2" s="22" t="s">
        <v>140</v>
      </c>
      <c r="C2" s="32" t="s">
        <v>5</v>
      </c>
      <c r="D2" s="32" t="s">
        <v>152</v>
      </c>
      <c r="E2" s="32" t="s">
        <v>153</v>
      </c>
      <c r="F2" s="32" t="s">
        <v>154</v>
      </c>
      <c r="G2" s="32" t="s">
        <v>199</v>
      </c>
      <c r="H2" s="32"/>
      <c r="I2" s="32"/>
      <c r="J2" s="32"/>
      <c r="K2" s="32"/>
      <c r="L2" s="32"/>
      <c r="M2" s="32"/>
    </row>
    <row r="3" spans="1:13" ht="22.5" customHeight="1">
      <c r="A3" s="5" t="s">
        <v>141</v>
      </c>
      <c r="B3" s="14">
        <f>COUNTIFS('Sales Log'!$I$14:$I$213,"No")/B4</f>
        <v>0.53333333333333333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0.54255319148936165</v>
      </c>
      <c r="E3" s="14">
        <f>COUNTIFS('Sales Log'!$I$14:$I$213,"No",'Sales Log'!$U$14:$U$213,'Scoreboard DM'!E2)/E4</f>
        <v>0.375</v>
      </c>
      <c r="F3" s="14">
        <f>COUNTIFS('Sales Log'!$I$14:$I$213,"No",'Sales Log'!$U$14:$U$213,'Scoreboard DM'!F2)/F4</f>
        <v>1</v>
      </c>
      <c r="G3" s="14">
        <f>COUNTIFS('Sales Log'!$I$14:$I$213,"No",'Sales Log'!$U$14:$U$213,'Scoreboard DM'!G2)/G4</f>
        <v>0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124</v>
      </c>
      <c r="B4" s="6">
        <f>'Sales Log'!D214</f>
        <v>105</v>
      </c>
      <c r="C4" s="40">
        <f>COUNTIF('Sales Log'!$U$14:$U$213,C2)</f>
        <v>0</v>
      </c>
      <c r="D4" s="40">
        <f>COUNTIF('Sales Log'!$U$14:$U$213,D2)</f>
        <v>94</v>
      </c>
      <c r="E4" s="40">
        <f>COUNTIF('Sales Log'!$U$14:$U$213,E2)</f>
        <v>8</v>
      </c>
      <c r="F4" s="40">
        <f>COUNTIF('Sales Log'!$U$14:$U$213,F2)</f>
        <v>2</v>
      </c>
      <c r="G4" s="40">
        <f>COUNTIF('Sales Log'!$U$14:$U$213,G2)</f>
        <v>1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125</v>
      </c>
      <c r="B5" s="7">
        <f>'Sales Log'!$F$214</f>
        <v>35.390476190476193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35.180851063829785</v>
      </c>
      <c r="E5" s="24">
        <f ca="1">AVERAGEIF('Sales Log'!$U$14:$U$213,E2,'Sales Log'!$F$14:$F$209)</f>
        <v>38.375</v>
      </c>
      <c r="F5" s="24">
        <f ca="1">AVERAGEIF('Sales Log'!$U$14:$U$213,F2,'Sales Log'!$F$14:$F$209)</f>
        <v>29</v>
      </c>
      <c r="G5" s="24">
        <f ca="1">AVERAGEIF('Sales Log'!$U$14:$U$213,G2,'Sales Log'!$F$14:$F$209)</f>
        <v>44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126</v>
      </c>
      <c r="B6" s="8">
        <f>'Sales Log'!$J$214</f>
        <v>23458.047619047618</v>
      </c>
      <c r="C6" s="8" t="e">
        <f>AVERAGEIF('Sales Log'!$U$14:$U$213,C2,'Sales Log'!$J$14:$J$213)</f>
        <v>#DIV/0!</v>
      </c>
      <c r="D6" s="8">
        <f>AVERAGEIF('Sales Log'!$U$14:$U$213,D2,'Sales Log'!$J$14:$J$213)</f>
        <v>23376.59574468085</v>
      </c>
      <c r="E6" s="8">
        <f>AVERAGEIF('Sales Log'!$U$14:$U$213,E2,'Sales Log'!$J$14:$J$213)</f>
        <v>21937.5</v>
      </c>
      <c r="F6" s="8">
        <f>AVERAGEIF('Sales Log'!$U$14:$U$213,F2,'Sales Log'!$J$14:$J$213)</f>
        <v>39697.5</v>
      </c>
      <c r="G6" s="8">
        <f>AVERAGEIF('Sales Log'!$U$14:$U$213,G2,'Sales Log'!$J$14:$J$213)</f>
        <v>10800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127</v>
      </c>
      <c r="B7" s="8">
        <f>'Sales Log'!$K$214</f>
        <v>23505.971428571429</v>
      </c>
      <c r="C7" s="8" t="e">
        <f>AVERAGEIF('Sales Log'!$U$14:$U$213,C2,'Sales Log'!$K$14:$K$213)</f>
        <v>#DIV/0!</v>
      </c>
      <c r="D7" s="8">
        <f>AVERAGEIF('Sales Log'!$U$14:$U$213,D2,'Sales Log'!$K$14:$K$213)</f>
        <v>23403.90425531915</v>
      </c>
      <c r="E7" s="8">
        <f>AVERAGEIF('Sales Log'!$U$14:$U$213,E2,'Sales Log'!$K$14:$K$213)</f>
        <v>22295.625</v>
      </c>
      <c r="F7" s="8">
        <f>AVERAGEIF('Sales Log'!$U$14:$U$213,F2,'Sales Log'!$K$14:$K$213)</f>
        <v>39497.5</v>
      </c>
      <c r="G7" s="8">
        <f>AVERAGEIF('Sales Log'!$U$14:$U$213,G2,'Sales Log'!$K$14:$K$213)</f>
        <v>10800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128</v>
      </c>
      <c r="B8" s="8">
        <f>'Sales Log'!$M$214</f>
        <v>24452.447135907863</v>
      </c>
      <c r="C8" s="8" t="e">
        <f>AVERAGEIF('Sales Log'!$U$14:$U$213,C2,'Sales Log'!$M$14:$M$213)</f>
        <v>#DIV/0!</v>
      </c>
      <c r="D8" s="8">
        <f>AVERAGEIF('Sales Log'!$U$14:$U$213,D2,'Sales Log'!$M$14:$M$213)</f>
        <v>24425.925426200447</v>
      </c>
      <c r="E8" s="8">
        <f>AVERAGEIF('Sales Log'!$U$14:$U$213,E2,'Sales Log'!$M$14:$M$213)</f>
        <v>23243.439504746671</v>
      </c>
      <c r="F8" s="8">
        <f>AVERAGEIF('Sales Log'!$U$14:$U$213,F2,'Sales Log'!$M$14:$M$213)</f>
        <v>41022.619815173006</v>
      </c>
      <c r="G8" s="8">
        <f>AVERAGEIF('Sales Log'!$U$14:$U$213,G2,'Sales Log'!$M$14:$M$213)</f>
        <v>11134.020618556702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129</v>
      </c>
      <c r="B9" s="9">
        <f>'Sales Log'!L214</f>
        <v>0.95933333333333359</v>
      </c>
      <c r="C9" s="14" t="e">
        <f>C6/C8</f>
        <v>#DIV/0!</v>
      </c>
      <c r="D9" s="14">
        <f t="shared" ref="D9:M9" si="0">D6/D8</f>
        <v>0.95704033058276539</v>
      </c>
      <c r="E9" s="14">
        <f t="shared" si="0"/>
        <v>0.94381470502762821</v>
      </c>
      <c r="F9" s="14">
        <f t="shared" si="0"/>
        <v>0.96769782570827223</v>
      </c>
      <c r="G9" s="14">
        <f t="shared" si="0"/>
        <v>0.96999999999999986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>
        <f>'Sales Log'!$N$214</f>
        <v>0.96129321118349109</v>
      </c>
      <c r="C10" s="14" t="e">
        <f>C7/C8</f>
        <v>#DIV/0!</v>
      </c>
      <c r="D10" s="14">
        <f t="shared" ref="D10:M10" si="1">D7/D8</f>
        <v>0.95815834392972365</v>
      </c>
      <c r="E10" s="14">
        <f t="shared" si="1"/>
        <v>0.95922227841739549</v>
      </c>
      <c r="F10" s="14">
        <f t="shared" si="1"/>
        <v>0.96282246667705729</v>
      </c>
      <c r="G10" s="14">
        <f t="shared" si="1"/>
        <v>0.96999999999999986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-47.923809523809524</v>
      </c>
      <c r="C11" s="8" t="e">
        <f>AVERAGEIF('Sales Log'!$U$14:$U$213,C2,'Sales Log'!$O$14:$O$213)</f>
        <v>#DIV/0!</v>
      </c>
      <c r="D11" s="8">
        <f>AVERAGEIF('Sales Log'!$U$14:$U$213,D2,'Sales Log'!$O$14:$O$213)</f>
        <v>-27.308510638297872</v>
      </c>
      <c r="E11" s="8">
        <f>AVERAGEIF('Sales Log'!$U$14:$U$213,E2,'Sales Log'!$O$14:$O$213)</f>
        <v>-358.125</v>
      </c>
      <c r="F11" s="8">
        <f>AVERAGEIF('Sales Log'!$U$14:$U$213,F2,'Sales Log'!$O$14:$O$213)</f>
        <v>200</v>
      </c>
      <c r="G11" s="8">
        <f>AVERAGEIF('Sales Log'!$U$14:$U$213,G2,'Sales Log'!$O$14:$O$213)</f>
        <v>0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132</v>
      </c>
      <c r="B12" s="8">
        <f>'Sales Log'!$P$214</f>
        <v>1959.2952380952381</v>
      </c>
      <c r="C12" s="8" t="e">
        <f>AVERAGEIF('Sales Log'!$U$14:$U$213,C2,'Sales Log'!$P$14:$P$213)</f>
        <v>#DIV/0!</v>
      </c>
      <c r="D12" s="8">
        <f>AVERAGEIF('Sales Log'!$U$14:$U$213,D2,'Sales Log'!$P$14:$P$213)</f>
        <v>1966.8617021276596</v>
      </c>
      <c r="E12" s="8">
        <f>AVERAGEIF('Sales Log'!$U$14:$U$213,E2,'Sales Log'!$P$14:$P$213)</f>
        <v>2444</v>
      </c>
      <c r="F12" s="8">
        <f>AVERAGEIF('Sales Log'!$U$14:$U$213,F2,'Sales Log'!$P$14:$P$213)</f>
        <v>-420</v>
      </c>
      <c r="G12" s="8">
        <f>AVERAGEIF('Sales Log'!$U$14:$U$213,G2,'Sales Log'!$P$14:$P$213)</f>
        <v>2129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133</v>
      </c>
      <c r="B13" s="8">
        <f>'Sales Log'!$Q$214</f>
        <v>1546.7211538461538</v>
      </c>
      <c r="C13" s="8" t="e">
        <f>AVERAGEIF('Sales Log'!$U$14:$U$213,C2,'Sales Log'!$Q$14:$Q$213)</f>
        <v>#DIV/0!</v>
      </c>
      <c r="D13" s="8">
        <f>AVERAGEIF('Sales Log'!$U$14:$U$213,D2,'Sales Log'!$Q$14:$Q$213)</f>
        <v>1644.8387096774193</v>
      </c>
      <c r="E13" s="8">
        <f>AVERAGEIF('Sales Log'!$U$14:$U$213,E2,'Sales Log'!$Q$14:$Q$213)</f>
        <v>986.125</v>
      </c>
      <c r="F13" s="8">
        <f>AVERAGEIF('Sales Log'!$U$14:$U$213,F2,'Sales Log'!$Q$14:$Q$213)</f>
        <v>0</v>
      </c>
      <c r="G13" s="8">
        <f>AVERAGEIF('Sales Log'!$U$14:$U$213,G2,'Sales Log'!$Q$14:$Q$213)</f>
        <v>0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134</v>
      </c>
      <c r="B14" s="8">
        <f>'Sales Log'!$R$214</f>
        <v>3491.2857142857142</v>
      </c>
      <c r="C14" s="8" t="e">
        <f>AVERAGEIF('Sales Log'!$U$14:$U$213,C2,'Sales Log'!$R$14:$R$213)</f>
        <v>#DIV/0!</v>
      </c>
      <c r="D14" s="8">
        <f>AVERAGEIF('Sales Log'!$U$14:$U$213,D2,'Sales Log'!$R$14:$R$213)</f>
        <v>3594.2021276595747</v>
      </c>
      <c r="E14" s="8">
        <f>AVERAGEIF('Sales Log'!$U$14:$U$213,E2,'Sales Log'!$R$14:$R$213)</f>
        <v>3430.125</v>
      </c>
      <c r="F14" s="8">
        <f>AVERAGEIF('Sales Log'!$U$14:$U$213,F2,'Sales Log'!$R$14:$R$213)</f>
        <v>-420</v>
      </c>
      <c r="G14" s="8">
        <f>AVERAGEIF('Sales Log'!$U$14:$U$213,G2,'Sales Log'!$R$14:$R$213)</f>
        <v>2129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135</v>
      </c>
      <c r="B15" s="10">
        <f>B14*B4</f>
        <v>366585</v>
      </c>
      <c r="C15" s="10" t="e">
        <f>C14*C4</f>
        <v>#DIV/0!</v>
      </c>
      <c r="D15" s="10">
        <f t="shared" ref="D15:F15" si="2">D14*D4</f>
        <v>337855</v>
      </c>
      <c r="E15" s="10">
        <f t="shared" si="2"/>
        <v>27441</v>
      </c>
      <c r="F15" s="10">
        <f t="shared" si="2"/>
        <v>-840</v>
      </c>
      <c r="G15" s="10">
        <f t="shared" ref="G15:J15" si="3">G14*G4</f>
        <v>2129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89</v>
      </c>
      <c r="B16" s="9">
        <f>(B14/(B7)*(360/B5))</f>
        <v>1.5108567247816356</v>
      </c>
      <c r="C16" s="9" t="e">
        <f t="shared" ref="C16:M16" ca="1" si="5">(C14/(C7)*(360/C5))</f>
        <v>#DIV/0!</v>
      </c>
      <c r="D16" s="9">
        <f t="shared" ca="1" si="5"/>
        <v>1.5714853750681019</v>
      </c>
      <c r="E16" s="9">
        <f t="shared" ca="1" si="5"/>
        <v>1.4432594437475912</v>
      </c>
      <c r="F16" s="9">
        <f t="shared" ca="1" si="5"/>
        <v>-0.13200311674025639</v>
      </c>
      <c r="G16" s="9">
        <f t="shared" ca="1" si="5"/>
        <v>1.6128787878787878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Log'!AA214/'Scoreboard Total'!B3</f>
        <v>0.34285714285714286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0.35106382978723405</v>
      </c>
      <c r="E17" s="9">
        <f>COUNTIFS('Sales Log'!$U$14:$U$213,'Scoreboard DM'!E$2,'Sales Log'!$AA$14:$AA$213,"Yes")/E$4</f>
        <v>0.375</v>
      </c>
      <c r="F17" s="9">
        <f>COUNTIFS('Sales Log'!$U$14:$U$213,'Scoreboard DM'!F$2,'Sales Log'!$AA$14:$AA$213,"Yes")/F$4</f>
        <v>0</v>
      </c>
      <c r="G17" s="9">
        <f>COUNTIFS('Sales Log'!$U$14:$U$213,'Scoreboard DM'!G$2,'Sales Log'!$AA$14:$AA$213,"Yes")/G$4</f>
        <v>0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137</v>
      </c>
      <c r="B18" s="114">
        <f>'Sales Log'!$AB$214</f>
        <v>86.416666666666671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97.303030303030297</v>
      </c>
      <c r="E18" s="114">
        <f>AVERAGEIF('Sales Log'!$U$14:$U$213,E2,'Sales Log'!$AB$14:$AB$213)</f>
        <v>-33.333333333333336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B4" sqref="B4"/>
    </sheetView>
  </sheetViews>
  <sheetFormatPr defaultRowHeight="14.25"/>
  <cols>
    <col min="1" max="1" width="37.59765625" customWidth="1"/>
    <col min="2" max="2" width="13.3984375" customWidth="1"/>
    <col min="3" max="12" width="19.73046875" customWidth="1"/>
    <col min="13" max="63" width="18.3984375" customWidth="1"/>
  </cols>
  <sheetData>
    <row r="1" spans="1:63" ht="22.5" customHeight="1" thickBot="1">
      <c r="A1" s="20" t="s">
        <v>138</v>
      </c>
      <c r="B1" s="21"/>
      <c r="C1" s="43" t="s">
        <v>139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142</v>
      </c>
      <c r="B2" s="22" t="s">
        <v>140</v>
      </c>
      <c r="C2" s="31" t="s">
        <v>158</v>
      </c>
      <c r="D2" s="31" t="s">
        <v>159</v>
      </c>
      <c r="E2" s="31" t="s">
        <v>160</v>
      </c>
      <c r="F2" s="31" t="s">
        <v>162</v>
      </c>
      <c r="G2" s="31" t="s">
        <v>161</v>
      </c>
      <c r="H2" s="31" t="s">
        <v>163</v>
      </c>
      <c r="I2" s="31" t="s">
        <v>164</v>
      </c>
      <c r="J2" s="31" t="s">
        <v>165</v>
      </c>
      <c r="K2" s="31" t="s">
        <v>167</v>
      </c>
      <c r="L2" s="31" t="s">
        <v>166</v>
      </c>
      <c r="M2" s="31" t="s">
        <v>170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141</v>
      </c>
      <c r="B3" s="14">
        <f>COUNTIFS('Sales Log'!$I$14:$I$213,"No")/B4</f>
        <v>0.53333333333333333</v>
      </c>
      <c r="C3" s="14">
        <f>COUNTIFS('Sales Log'!$I$14:$I$213,"No",'Sales Log'!$T$14:$T$213,C2)/C4</f>
        <v>0.3888888888888889</v>
      </c>
      <c r="D3" s="14">
        <f>COUNTIFS('Sales Log'!$I$14:$I$213,"No",'Sales Log'!$T$14:$T$213,D2)/D4</f>
        <v>0.6428571428571429</v>
      </c>
      <c r="E3" s="14">
        <f>COUNTIFS('Sales Log'!$I$14:$I$213,"No",'Sales Log'!$T$14:$T$213,E2)/E4</f>
        <v>0.53846153846153844</v>
      </c>
      <c r="F3" s="14">
        <f>COUNTIFS('Sales Log'!$I$14:$I$213,"No",'Sales Log'!$T$14:$T$213,F2)/F4</f>
        <v>0.73913043478260865</v>
      </c>
      <c r="G3" s="14">
        <f>COUNTIFS('Sales Log'!$I$14:$I$213,"No",'Sales Log'!$T$14:$T$213,G2)/G4</f>
        <v>0.26666666666666666</v>
      </c>
      <c r="H3" s="14">
        <f>COUNTIFS('Sales Log'!$I$14:$I$213,"No",'Sales Log'!$T$14:$T$213,H2)/H4</f>
        <v>0.33333333333333331</v>
      </c>
      <c r="I3" s="14">
        <f>COUNTIFS('Sales Log'!$I$14:$I$213,"No",'Sales Log'!$T$14:$T$213,I2)/I4</f>
        <v>0.75</v>
      </c>
      <c r="J3" s="14">
        <f>COUNTIFS('Sales Log'!$I$14:$I$213,"No",'Sales Log'!$T$14:$T$213,J2)/J4</f>
        <v>1</v>
      </c>
      <c r="K3" s="14">
        <f>COUNTIFS('Sales Log'!$I$14:$I$213,"No",'Sales Log'!$T$14:$T$213,K2)/K4</f>
        <v>0.5</v>
      </c>
      <c r="L3" s="14">
        <f>COUNTIFS('Sales Log'!$I$14:$I$213,"No",'Sales Log'!$T$14:$T$213,L2)/L4</f>
        <v>0</v>
      </c>
      <c r="M3" s="14">
        <f>COUNTIFS('Sales Log'!$I$14:$I$213,"No",'Sales Log'!$T$14:$T$213,M2)/M4</f>
        <v>0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124</v>
      </c>
      <c r="B4" s="6">
        <f>'Scoreboard Total'!B3</f>
        <v>105</v>
      </c>
      <c r="C4" s="39">
        <f>COUNTIF('Sales Log'!$T$14:$T$213,C2)</f>
        <v>18</v>
      </c>
      <c r="D4" s="39">
        <f>COUNTIF('Sales Log'!$T$14:$T$213,D2)</f>
        <v>14</v>
      </c>
      <c r="E4" s="39">
        <f>COUNTIF('Sales Log'!$T$14:$T$213,E2)</f>
        <v>13</v>
      </c>
      <c r="F4" s="39">
        <f>COUNTIF('Sales Log'!$T$14:$T$213,F2)</f>
        <v>23</v>
      </c>
      <c r="G4" s="39">
        <f>COUNTIF('Sales Log'!$T$14:$T$213,G2)</f>
        <v>15</v>
      </c>
      <c r="H4" s="39">
        <f>COUNTIF('Sales Log'!$T$14:$T$213,H2)</f>
        <v>3</v>
      </c>
      <c r="I4" s="39">
        <f>COUNTIF('Sales Log'!$T$14:$T$213,I2)</f>
        <v>4</v>
      </c>
      <c r="J4" s="39">
        <f>COUNTIF('Sales Log'!$T$14:$T$213,J2)</f>
        <v>1</v>
      </c>
      <c r="K4" s="39">
        <f>COUNTIF('Sales Log'!$T$14:$T$213,K2)</f>
        <v>4</v>
      </c>
      <c r="L4" s="39">
        <f>COUNTIF('Sales Log'!$T$14:$T$213,L2)</f>
        <v>3</v>
      </c>
      <c r="M4" s="39">
        <f>COUNTIF('Sales Log'!$T$14:$T$213,M2)</f>
        <v>1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125</v>
      </c>
      <c r="B5" s="7">
        <f>'Sales Log'!$F$214</f>
        <v>35.390476190476193</v>
      </c>
      <c r="C5" s="24">
        <f ca="1">AVERAGEIF('Sales Log'!$T$14:$T$213,C2,'Sales Log'!$F$14:$F$209)</f>
        <v>30.555555555555557</v>
      </c>
      <c r="D5" s="24">
        <f ca="1">AVERAGEIF('Sales Log'!$T$14:$T$213,D2,'Sales Log'!$F$14:$F$209)</f>
        <v>31.071428571428573</v>
      </c>
      <c r="E5" s="24">
        <f ca="1">AVERAGEIF('Sales Log'!$T$14:$T$213,E2,'Sales Log'!$F$14:$F$209)</f>
        <v>33.615384615384613</v>
      </c>
      <c r="F5" s="24">
        <f ca="1">AVERAGEIF('Sales Log'!$T$14:$T$213,F2,'Sales Log'!$F$14:$F$209)</f>
        <v>45.608695652173914</v>
      </c>
      <c r="G5" s="24">
        <f ca="1">AVERAGEIF('Sales Log'!$T$14:$T$213,G2,'Sales Log'!$F$14:$F$209)</f>
        <v>42.4</v>
      </c>
      <c r="H5" s="24">
        <f ca="1">AVERAGEIF('Sales Log'!$T$14:$T$213,H2,'Sales Log'!$F$14:$F$209)</f>
        <v>30.333333333333332</v>
      </c>
      <c r="I5" s="24">
        <f ca="1">AVERAGEIF('Sales Log'!$T$14:$T$213,I2,'Sales Log'!$F$14:$F$209)</f>
        <v>29.5</v>
      </c>
      <c r="J5" s="24">
        <f ca="1">AVERAGEIF('Sales Log'!$T$14:$T$213,J2,'Sales Log'!$F$14:$F$209)</f>
        <v>80</v>
      </c>
      <c r="K5" s="24">
        <f ca="1">AVERAGEIF('Sales Log'!$T$14:$T$213,K2,'Sales Log'!$F$14:$F$209)</f>
        <v>24</v>
      </c>
      <c r="L5" s="24">
        <f ca="1">AVERAGEIF('Sales Log'!$T$14:$T$213,L2,'Sales Log'!$F$14:$F$209)</f>
        <v>25.666666666666668</v>
      </c>
      <c r="M5" s="24">
        <f ca="1">AVERAGEIF('Sales Log'!$T$14:$T$213,M2,'Sales Log'!$F$14:$F$209)</f>
        <v>11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126</v>
      </c>
      <c r="B6" s="8">
        <f>'Sales Log'!$J$214</f>
        <v>23458.047619047618</v>
      </c>
      <c r="C6" s="8">
        <f>AVERAGEIF('Sales Log'!$T$14:$T$213,C2,'Sales Log'!$J$14:$J$213)</f>
        <v>21805.555555555555</v>
      </c>
      <c r="D6" s="8">
        <f>AVERAGEIF('Sales Log'!$T$14:$T$213,D2,'Sales Log'!$J$14:$J$213)</f>
        <v>25171.428571428572</v>
      </c>
      <c r="E6" s="8">
        <f>AVERAGEIF('Sales Log'!$T$14:$T$213,E2,'Sales Log'!$J$14:$J$213)</f>
        <v>23153.846153846152</v>
      </c>
      <c r="F6" s="8">
        <f>AVERAGEIF('Sales Log'!$T$14:$T$213,F2,'Sales Log'!$J$14:$J$213)</f>
        <v>25617.391304347828</v>
      </c>
      <c r="G6" s="8">
        <f>AVERAGEIF('Sales Log'!$T$14:$T$213,G2,'Sales Log'!$J$14:$J$213)</f>
        <v>22100</v>
      </c>
      <c r="H6" s="8">
        <f>AVERAGEIF('Sales Log'!$T$14:$T$213,H2,'Sales Log'!$J$14:$J$213)</f>
        <v>21100</v>
      </c>
      <c r="I6" s="8">
        <f>AVERAGEIF('Sales Log'!$T$14:$T$213,I2,'Sales Log'!$J$14:$J$213)</f>
        <v>19100</v>
      </c>
      <c r="J6" s="8">
        <f>AVERAGEIF('Sales Log'!$T$14:$T$213,J2,'Sales Log'!$J$14:$J$213)</f>
        <v>23400</v>
      </c>
      <c r="K6" s="8">
        <f>AVERAGEIF('Sales Log'!$T$14:$T$213,K2,'Sales Log'!$J$14:$J$213)</f>
        <v>20000</v>
      </c>
      <c r="L6" s="8">
        <f>AVERAGEIF('Sales Log'!$T$14:$T$213,L2,'Sales Log'!$J$14:$J$213)</f>
        <v>23366.666666666668</v>
      </c>
      <c r="M6" s="8">
        <f>AVERAGEIF('Sales Log'!$T$14:$T$213,M2,'Sales Log'!$J$14:$J$213)</f>
        <v>13900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127</v>
      </c>
      <c r="B7" s="8">
        <f>'Sales Log'!$K$214</f>
        <v>23505.971428571429</v>
      </c>
      <c r="C7" s="8">
        <f>AVERAGEIF('Sales Log'!$T$14:$T$213,C2,'Sales Log'!$K$14:$K$213)</f>
        <v>22308.111111111109</v>
      </c>
      <c r="D7" s="8">
        <f>AVERAGEIF('Sales Log'!$T$14:$T$213,D2,'Sales Log'!$K$14:$K$213)</f>
        <v>25214.285714285714</v>
      </c>
      <c r="E7" s="8">
        <f>AVERAGEIF('Sales Log'!$T$14:$T$213,E2,'Sales Log'!$K$14:$K$213)</f>
        <v>23088.076923076922</v>
      </c>
      <c r="F7" s="8">
        <f>AVERAGEIF('Sales Log'!$T$14:$T$213,F2,'Sales Log'!$K$14:$K$213)</f>
        <v>25541.565217391304</v>
      </c>
      <c r="G7" s="8">
        <f>AVERAGEIF('Sales Log'!$T$14:$T$213,G2,'Sales Log'!$K$14:$K$213)</f>
        <v>21942.2</v>
      </c>
      <c r="H7" s="8">
        <f>AVERAGEIF('Sales Log'!$T$14:$T$213,H2,'Sales Log'!$K$14:$K$213)</f>
        <v>21664.666666666668</v>
      </c>
      <c r="I7" s="8">
        <f>AVERAGEIF('Sales Log'!$T$14:$T$213,I2,'Sales Log'!$K$14:$K$213)</f>
        <v>18869.75</v>
      </c>
      <c r="J7" s="8">
        <f>AVERAGEIF('Sales Log'!$T$14:$T$213,J2,'Sales Log'!$K$14:$K$213)</f>
        <v>23400</v>
      </c>
      <c r="K7" s="8">
        <f>AVERAGEIF('Sales Log'!$T$14:$T$213,K2,'Sales Log'!$K$14:$K$213)</f>
        <v>19141.5</v>
      </c>
      <c r="L7" s="8">
        <f>AVERAGEIF('Sales Log'!$T$14:$T$213,L2,'Sales Log'!$K$14:$K$213)</f>
        <v>24061.333333333332</v>
      </c>
      <c r="M7" s="8">
        <f>AVERAGEIF('Sales Log'!$T$14:$T$213,M2,'Sales Log'!$K$14:$K$213)</f>
        <v>13901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128</v>
      </c>
      <c r="B8" s="8">
        <f>'Sales Log'!$M$214</f>
        <v>24452.447135907863</v>
      </c>
      <c r="C8" s="8">
        <f>AVERAGEIF('Sales Log'!$T$14:$T$213,C2,'Sales Log'!$M$14:$M$213)</f>
        <v>22892.793445816489</v>
      </c>
      <c r="D8" s="8">
        <f>AVERAGEIF('Sales Log'!$T$14:$T$213,D2,'Sales Log'!$M$14:$M$213)</f>
        <v>25973.206501517041</v>
      </c>
      <c r="E8" s="8">
        <f>AVERAGEIF('Sales Log'!$T$14:$T$213,E2,'Sales Log'!$M$14:$M$213)</f>
        <v>24319.203152293474</v>
      </c>
      <c r="F8" s="8">
        <f>AVERAGEIF('Sales Log'!$T$14:$T$213,F2,'Sales Log'!$M$14:$M$213)</f>
        <v>27030.052487724679</v>
      </c>
      <c r="G8" s="8">
        <f>AVERAGEIF('Sales Log'!$T$14:$T$213,G2,'Sales Log'!$M$14:$M$213)</f>
        <v>23387.94242290172</v>
      </c>
      <c r="H8" s="8">
        <f>AVERAGEIF('Sales Log'!$T$14:$T$213,H2,'Sales Log'!$M$14:$M$213)</f>
        <v>21883.833294576649</v>
      </c>
      <c r="I8" s="8">
        <f>AVERAGEIF('Sales Log'!$T$14:$T$213,I2,'Sales Log'!$M$14:$M$213)</f>
        <v>19577.285481814222</v>
      </c>
      <c r="J8" s="8">
        <f>AVERAGEIF('Sales Log'!$T$14:$T$213,J2,'Sales Log'!$M$14:$M$213)</f>
        <v>25434.782608695652</v>
      </c>
      <c r="K8" s="8">
        <f>AVERAGEIF('Sales Log'!$T$14:$T$213,K2,'Sales Log'!$M$14:$M$213)</f>
        <v>20452.889050356986</v>
      </c>
      <c r="L8" s="8">
        <f>AVERAGEIF('Sales Log'!$T$14:$T$213,L2,'Sales Log'!$M$14:$M$213)</f>
        <v>24181.294008831599</v>
      </c>
      <c r="M8" s="8">
        <f>AVERAGEIF('Sales Log'!$T$14:$T$213,M2,'Sales Log'!$M$14:$M$213)</f>
        <v>13627.450980392157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129</v>
      </c>
      <c r="B9" s="9">
        <f>'Sales Log'!L214</f>
        <v>0.95933333333333359</v>
      </c>
      <c r="C9" s="14">
        <f>C6/C8</f>
        <v>0.95250741711210341</v>
      </c>
      <c r="D9" s="14">
        <f t="shared" ref="D9:BK9" si="0">D6/D8</f>
        <v>0.96913057577077988</v>
      </c>
      <c r="E9" s="14">
        <f t="shared" si="0"/>
        <v>0.95208079018257552</v>
      </c>
      <c r="F9" s="14">
        <f t="shared" si="0"/>
        <v>0.94773738659892015</v>
      </c>
      <c r="G9" s="14">
        <f t="shared" si="0"/>
        <v>0.94493134968382031</v>
      </c>
      <c r="H9" s="14">
        <f t="shared" si="0"/>
        <v>0.96418208437134723</v>
      </c>
      <c r="I9" s="14">
        <f t="shared" si="0"/>
        <v>0.97562044634545564</v>
      </c>
      <c r="J9" s="14">
        <f t="shared" si="0"/>
        <v>0.92</v>
      </c>
      <c r="K9" s="14">
        <f t="shared" si="0"/>
        <v>0.97785696440038716</v>
      </c>
      <c r="L9" s="14">
        <f t="shared" si="0"/>
        <v>0.96631167290437769</v>
      </c>
      <c r="M9" s="14">
        <f t="shared" si="0"/>
        <v>1.02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>
        <f>'Sales Log'!$N$214</f>
        <v>0.96129321118349109</v>
      </c>
      <c r="C10" s="14">
        <f>C7/C8</f>
        <v>0.97445998295973679</v>
      </c>
      <c r="D10" s="14">
        <f t="shared" ref="D10:BK10" si="1">D7/D8</f>
        <v>0.97078062782941332</v>
      </c>
      <c r="E10" s="14">
        <f t="shared" si="1"/>
        <v>0.94937637464900049</v>
      </c>
      <c r="F10" s="14">
        <f t="shared" si="1"/>
        <v>0.9449321354070862</v>
      </c>
      <c r="G10" s="14">
        <f t="shared" si="1"/>
        <v>0.93818428330462988</v>
      </c>
      <c r="H10" s="14">
        <f t="shared" si="1"/>
        <v>0.98998499828801489</v>
      </c>
      <c r="I10" s="14">
        <f t="shared" si="1"/>
        <v>0.96385936740456346</v>
      </c>
      <c r="J10" s="14">
        <f t="shared" si="1"/>
        <v>0.92</v>
      </c>
      <c r="K10" s="14">
        <f t="shared" si="1"/>
        <v>0.93588245420350058</v>
      </c>
      <c r="L10" s="14">
        <f t="shared" si="1"/>
        <v>0.9950391126523479</v>
      </c>
      <c r="M10" s="14">
        <f t="shared" si="1"/>
        <v>1.0200733812949641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-47.923809523809524</v>
      </c>
      <c r="C11" s="8">
        <f>AVERAGEIF('Sales Log'!$T$14:$T$213,C2,'Sales Log'!$O$14:$O$213)</f>
        <v>-502.55555555555554</v>
      </c>
      <c r="D11" s="8">
        <f>AVERAGEIF('Sales Log'!$T$14:$T$213,D2,'Sales Log'!$O$14:$O$213)</f>
        <v>-42.857142857142854</v>
      </c>
      <c r="E11" s="8">
        <f>AVERAGEIF('Sales Log'!$T$14:$T$213,E2,'Sales Log'!$O$14:$O$213)</f>
        <v>65.769230769230774</v>
      </c>
      <c r="F11" s="8">
        <f>AVERAGEIF('Sales Log'!$T$14:$T$213,F2,'Sales Log'!$O$14:$O$213)</f>
        <v>75.826086956521735</v>
      </c>
      <c r="G11" s="8">
        <f>AVERAGEIF('Sales Log'!$T$14:$T$213,G2,'Sales Log'!$O$14:$O$213)</f>
        <v>157.80000000000001</v>
      </c>
      <c r="H11" s="8">
        <f>AVERAGEIF('Sales Log'!$T$14:$T$213,H2,'Sales Log'!$O$14:$O$213)</f>
        <v>-564.66666666666663</v>
      </c>
      <c r="I11" s="8">
        <f>AVERAGEIF('Sales Log'!$T$14:$T$213,I2,'Sales Log'!$O$14:$O$213)</f>
        <v>230.25</v>
      </c>
      <c r="J11" s="8">
        <f>AVERAGEIF('Sales Log'!$T$14:$T$213,J2,'Sales Log'!$O$14:$O$213)</f>
        <v>0</v>
      </c>
      <c r="K11" s="8">
        <f>AVERAGEIF('Sales Log'!$T$14:$T$213,K2,'Sales Log'!$O$14:$O$213)</f>
        <v>858.5</v>
      </c>
      <c r="L11" s="8">
        <f>AVERAGEIF('Sales Log'!$T$14:$T$213,L2,'Sales Log'!$O$14:$O$213)</f>
        <v>-694.66666666666663</v>
      </c>
      <c r="M11" s="8">
        <f>AVERAGEIF('Sales Log'!$T$14:$T$213,M2,'Sales Log'!$O$14:$O$213)</f>
        <v>-1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132</v>
      </c>
      <c r="B12" s="8">
        <f>'Sales Log'!$P$214</f>
        <v>1959.2952380952381</v>
      </c>
      <c r="C12" s="8">
        <f>AVERAGEIF('Sales Log'!$T$14:$T$213,C2,'Sales Log'!$P$14:$P$213)</f>
        <v>1717.9444444444443</v>
      </c>
      <c r="D12" s="8">
        <f>AVERAGEIF('Sales Log'!$T$14:$T$213,D2,'Sales Log'!$P$14:$P$213)</f>
        <v>1972.2142857142858</v>
      </c>
      <c r="E12" s="8">
        <f>AVERAGEIF('Sales Log'!$T$14:$T$213,E2,'Sales Log'!$P$14:$P$213)</f>
        <v>2574.6923076923076</v>
      </c>
      <c r="F12" s="8">
        <f>AVERAGEIF('Sales Log'!$T$14:$T$213,F2,'Sales Log'!$P$14:$P$213)</f>
        <v>1935.2173913043478</v>
      </c>
      <c r="G12" s="8">
        <f>AVERAGEIF('Sales Log'!$T$14:$T$213,G2,'Sales Log'!$P$14:$P$213)</f>
        <v>1243.7333333333333</v>
      </c>
      <c r="H12" s="8">
        <f>AVERAGEIF('Sales Log'!$T$14:$T$213,H2,'Sales Log'!$P$14:$P$213)</f>
        <v>2061</v>
      </c>
      <c r="I12" s="8">
        <f>AVERAGEIF('Sales Log'!$T$14:$T$213,I2,'Sales Log'!$P$14:$P$213)</f>
        <v>2758.75</v>
      </c>
      <c r="J12" s="8">
        <f>AVERAGEIF('Sales Log'!$T$14:$T$213,J2,'Sales Log'!$P$14:$P$213)</f>
        <v>-313</v>
      </c>
      <c r="K12" s="8">
        <f>AVERAGEIF('Sales Log'!$T$14:$T$213,K2,'Sales Log'!$P$14:$P$213)</f>
        <v>3047.75</v>
      </c>
      <c r="L12" s="8">
        <f>AVERAGEIF('Sales Log'!$T$14:$T$213,L2,'Sales Log'!$P$14:$P$213)</f>
        <v>1418.3333333333333</v>
      </c>
      <c r="M12" s="8">
        <f>AVERAGEIF('Sales Log'!$T$14:$T$213,M2,'Sales Log'!$P$14:$P$213)</f>
        <v>6194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133</v>
      </c>
      <c r="B13" s="8">
        <f>'Sales Log'!$Q$214</f>
        <v>1546.7211538461538</v>
      </c>
      <c r="C13" s="8">
        <f>AVERAGEIF('Sales Log'!$T$14:$T$213,C2,'Sales Log'!$Q$14:$Q$213)</f>
        <v>1049.8333333333333</v>
      </c>
      <c r="D13" s="8">
        <f>AVERAGEIF('Sales Log'!$T$14:$T$213,D2,'Sales Log'!$Q$14:$Q$213)</f>
        <v>1550.9285714285713</v>
      </c>
      <c r="E13" s="8">
        <f>AVERAGEIF('Sales Log'!$T$14:$T$213,E2,'Sales Log'!$Q$14:$Q$213)</f>
        <v>2260.2307692307691</v>
      </c>
      <c r="F13" s="8">
        <f>AVERAGEIF('Sales Log'!$T$14:$T$213,F2,'Sales Log'!$Q$14:$Q$213)</f>
        <v>1201.8695652173913</v>
      </c>
      <c r="G13" s="8">
        <f>AVERAGEIF('Sales Log'!$T$14:$T$213,G2,'Sales Log'!$Q$14:$Q$213)</f>
        <v>1562.2666666666667</v>
      </c>
      <c r="H13" s="8">
        <f>AVERAGEIF('Sales Log'!$T$14:$T$213,H2,'Sales Log'!$Q$14:$Q$213)</f>
        <v>2524.3333333333335</v>
      </c>
      <c r="I13" s="8">
        <f>AVERAGEIF('Sales Log'!$T$14:$T$213,I2,'Sales Log'!$Q$14:$Q$213)</f>
        <v>2411.5</v>
      </c>
      <c r="J13" s="8">
        <f>AVERAGEIF('Sales Log'!$T$14:$T$213,J2,'Sales Log'!$Q$14:$Q$213)</f>
        <v>3503</v>
      </c>
      <c r="K13" s="8">
        <f>AVERAGEIF('Sales Log'!$T$14:$T$213,K2,'Sales Log'!$Q$14:$Q$213)</f>
        <v>1163</v>
      </c>
      <c r="L13" s="8">
        <f>AVERAGEIF('Sales Log'!$T$14:$T$213,L2,'Sales Log'!$Q$14:$Q$213)</f>
        <v>2477.3333333333335</v>
      </c>
      <c r="M13" s="8">
        <f>AVERAGEIF('Sales Log'!$T$14:$T$213,M2,'Sales Log'!$Q$14:$Q$213)</f>
        <v>1983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134</v>
      </c>
      <c r="B14" s="8">
        <f>'Sales Log'!$R$214</f>
        <v>3491.2857142857142</v>
      </c>
      <c r="C14" s="8">
        <f>AVERAGEIF('Sales Log'!$T$14:$T$213,C2,'Sales Log'!$R$14:$R$213)</f>
        <v>2767.7777777777778</v>
      </c>
      <c r="D14" s="8">
        <f>AVERAGEIF('Sales Log'!$T$14:$T$213,D2,'Sales Log'!$R$14:$R$213)</f>
        <v>3523.1428571428573</v>
      </c>
      <c r="E14" s="8">
        <f>AVERAGEIF('Sales Log'!$T$14:$T$213,E2,'Sales Log'!$R$14:$R$213)</f>
        <v>4834.9230769230771</v>
      </c>
      <c r="F14" s="8">
        <f>AVERAGEIF('Sales Log'!$T$14:$T$213,F2,'Sales Log'!$R$14:$R$213)</f>
        <v>3137.086956521739</v>
      </c>
      <c r="G14" s="8">
        <f>AVERAGEIF('Sales Log'!$T$14:$T$213,G2,'Sales Log'!$R$14:$R$213)</f>
        <v>2806</v>
      </c>
      <c r="H14" s="8">
        <f>AVERAGEIF('Sales Log'!$T$14:$T$213,H2,'Sales Log'!$R$14:$R$213)</f>
        <v>4585.333333333333</v>
      </c>
      <c r="I14" s="8">
        <f>AVERAGEIF('Sales Log'!$T$14:$T$213,I2,'Sales Log'!$R$14:$R$213)</f>
        <v>5170.25</v>
      </c>
      <c r="J14" s="8">
        <f>AVERAGEIF('Sales Log'!$T$14:$T$213,J2,'Sales Log'!$R$14:$R$213)</f>
        <v>3190</v>
      </c>
      <c r="K14" s="8">
        <f>AVERAGEIF('Sales Log'!$T$14:$T$213,K2,'Sales Log'!$R$14:$R$213)</f>
        <v>3920</v>
      </c>
      <c r="L14" s="8">
        <f>AVERAGEIF('Sales Log'!$T$14:$T$213,L2,'Sales Log'!$R$14:$R$213)</f>
        <v>3895.6666666666665</v>
      </c>
      <c r="M14" s="8">
        <f>AVERAGEIF('Sales Log'!$T$14:$T$213,M2,'Sales Log'!$R$14:$R$213)</f>
        <v>8177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135</v>
      </c>
      <c r="B15" s="10">
        <f>B14*B4</f>
        <v>366585</v>
      </c>
      <c r="C15" s="10">
        <f>C14*C4</f>
        <v>49820</v>
      </c>
      <c r="D15" s="10">
        <f t="shared" ref="D15:L15" si="2">D14*D4</f>
        <v>49324</v>
      </c>
      <c r="E15" s="10">
        <f t="shared" si="2"/>
        <v>62854</v>
      </c>
      <c r="F15" s="10">
        <f t="shared" si="2"/>
        <v>72153</v>
      </c>
      <c r="G15" s="10">
        <f t="shared" si="2"/>
        <v>42090</v>
      </c>
      <c r="H15" s="10">
        <f t="shared" si="2"/>
        <v>13756</v>
      </c>
      <c r="I15" s="10">
        <f t="shared" si="2"/>
        <v>20681</v>
      </c>
      <c r="J15" s="10">
        <f t="shared" si="2"/>
        <v>3190</v>
      </c>
      <c r="K15" s="10">
        <f t="shared" si="2"/>
        <v>15680</v>
      </c>
      <c r="L15" s="10">
        <f t="shared" si="2"/>
        <v>11687</v>
      </c>
      <c r="M15" s="10">
        <f t="shared" ref="M15" si="3">M14*M4</f>
        <v>8177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89</v>
      </c>
      <c r="B16" s="9">
        <f>(B14/(B7)*(360/B5))</f>
        <v>1.5108567247816356</v>
      </c>
      <c r="C16" s="9">
        <f t="shared" ref="C16:BK16" ca="1" si="10">(C14/(C7)*(360/C5))</f>
        <v>1.4617756914978155</v>
      </c>
      <c r="D16" s="9">
        <f t="shared" ca="1" si="10"/>
        <v>1.618918042395233</v>
      </c>
      <c r="E16" s="9">
        <f t="shared" ca="1" si="10"/>
        <v>2.242674393112742</v>
      </c>
      <c r="F16" s="9">
        <f t="shared" ca="1" si="10"/>
        <v>0.96946893585899996</v>
      </c>
      <c r="G16" s="9">
        <f t="shared" ca="1" si="10"/>
        <v>1.085785759945985</v>
      </c>
      <c r="H16" s="9">
        <f t="shared" ca="1" si="10"/>
        <v>2.5118937436997562</v>
      </c>
      <c r="I16" s="9">
        <f t="shared" ca="1" si="10"/>
        <v>3.3436890404582167</v>
      </c>
      <c r="J16" s="9">
        <f t="shared" ca="1" si="10"/>
        <v>0.61346153846153839</v>
      </c>
      <c r="K16" s="9">
        <f t="shared" ca="1" si="10"/>
        <v>3.0718595721338451</v>
      </c>
      <c r="L16" s="9">
        <f t="shared" ca="1" si="10"/>
        <v>2.2708849390662538</v>
      </c>
      <c r="M16" s="9">
        <f t="shared" ca="1" si="10"/>
        <v>19.251198409532343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Log'!AA214/'Scoreboard Total'!B3</f>
        <v>0.34285714285714286</v>
      </c>
      <c r="C17" s="9">
        <f>COUNTIFS('Sales Log'!$T$14:$T$213,C2,'Sales Log'!$AA$14:$AA$213,"Yes")/C$4</f>
        <v>0.22222222222222221</v>
      </c>
      <c r="D17" s="9">
        <f>COUNTIFS('Sales Log'!$T$14:$T$213,D2,'Sales Log'!$AA$14:$AA$213,"Yes")/D$4</f>
        <v>0.42857142857142855</v>
      </c>
      <c r="E17" s="9">
        <f>COUNTIFS('Sales Log'!$T$14:$T$213,E2,'Sales Log'!$AA$14:$AA$213,"Yes")/E$4</f>
        <v>0.23076923076923078</v>
      </c>
      <c r="F17" s="9">
        <f>COUNTIFS('Sales Log'!$T$14:$T$213,F2,'Sales Log'!$AA$14:$AA$213,"Yes")/F$4</f>
        <v>0.56521739130434778</v>
      </c>
      <c r="G17" s="9">
        <f>COUNTIFS('Sales Log'!$T$14:$T$213,G2,'Sales Log'!$AA$14:$AA$213,"Yes")/G$4</f>
        <v>6.6666666666666666E-2</v>
      </c>
      <c r="H17" s="9">
        <f>COUNTIFS('Sales Log'!$T$14:$T$213,H2,'Sales Log'!$AA$14:$AA$213,"Yes")/H$4</f>
        <v>1</v>
      </c>
      <c r="I17" s="9">
        <f>COUNTIFS('Sales Log'!$T$14:$T$213,I2,'Sales Log'!$AA$14:$AA$213,"Yes")/I$4</f>
        <v>0.25</v>
      </c>
      <c r="J17" s="9">
        <f>COUNTIFS('Sales Log'!$T$14:$T$213,J2,'Sales Log'!$AA$14:$AA$213,"Yes")/J$4</f>
        <v>0</v>
      </c>
      <c r="K17" s="9">
        <f>COUNTIFS('Sales Log'!$T$14:$T$213,K2,'Sales Log'!$AA$14:$AA$213,"Yes")/K$4</f>
        <v>0.25</v>
      </c>
      <c r="L17" s="9">
        <f>COUNTIFS('Sales Log'!$T$14:$T$213,L2,'Sales Log'!$AA$14:$AA$213,"Yes")/L$4</f>
        <v>0.66666666666666663</v>
      </c>
      <c r="M17" s="9">
        <f>COUNTIFS('Sales Log'!$T$14:$T$213,M2,'Sales Log'!$AA$14:$AA$213,"Yes")/M$4</f>
        <v>0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137</v>
      </c>
      <c r="B18" s="114">
        <f>'Sales Log'!$AB$214</f>
        <v>86.416666666666671</v>
      </c>
      <c r="C18" s="114">
        <f>AVERAGEIF('Sales Log'!$T$14:$T$213,C2,'Sales Log'!$AB$14:$AB$213)</f>
        <v>150</v>
      </c>
      <c r="D18" s="114">
        <f>AVERAGEIF('Sales Log'!$T$14:$T$213,D2,'Sales Log'!$AB$14:$AB$213)</f>
        <v>-58.166666666666664</v>
      </c>
      <c r="E18" s="114">
        <f>AVERAGEIF('Sales Log'!$T$14:$T$213,E2,'Sales Log'!$AB$14:$AB$213)</f>
        <v>666.66666666666663</v>
      </c>
      <c r="F18" s="114">
        <f>AVERAGEIF('Sales Log'!$T$14:$T$213,F2,'Sales Log'!$AB$14:$AB$213)</f>
        <v>69.230769230769226</v>
      </c>
      <c r="G18" s="114">
        <f>AVERAGEIF('Sales Log'!$T$14:$T$213,G2,'Sales Log'!$AB$14:$AB$213)</f>
        <v>0</v>
      </c>
      <c r="H18" s="114">
        <f>AVERAGEIF('Sales Log'!$T$14:$T$213,H2,'Sales Log'!$AB$14:$AB$213)</f>
        <v>0</v>
      </c>
      <c r="I18" s="114">
        <f>AVERAGEIF('Sales Log'!$T$14:$T$213,I2,'Sales Log'!$AB$14:$AB$213)</f>
        <v>-40</v>
      </c>
      <c r="J18" s="114" t="e">
        <f>AVERAGEIF('Sales Log'!$T$14:$T$213,J2,'Sales Log'!$AB$14:$AB$213)</f>
        <v>#DIV/0!</v>
      </c>
      <c r="K18" s="114">
        <f>AVERAGEIF('Sales Log'!$T$14:$T$213,K2,'Sales Log'!$AB$14:$AB$213)</f>
        <v>0</v>
      </c>
      <c r="L18" s="114">
        <f>AVERAGEIF('Sales Log'!$T$14:$T$213,L2,'Sales Log'!$AB$14:$AB$213)</f>
        <v>0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F2" sqref="F2"/>
    </sheetView>
  </sheetViews>
  <sheetFormatPr defaultRowHeight="14.25"/>
  <cols>
    <col min="1" max="1" width="37.73046875" bestFit="1" customWidth="1"/>
    <col min="2" max="2" width="13.3984375" customWidth="1"/>
    <col min="3" max="12" width="19.73046875" customWidth="1"/>
  </cols>
  <sheetData>
    <row r="1" spans="1:12" ht="22.5" customHeight="1">
      <c r="A1" s="20" t="s">
        <v>138</v>
      </c>
      <c r="B1" s="21"/>
      <c r="C1" s="43" t="s">
        <v>139</v>
      </c>
    </row>
    <row r="2" spans="1:12" ht="22.5" customHeight="1">
      <c r="A2" s="22" t="s">
        <v>92</v>
      </c>
      <c r="B2" s="22" t="s">
        <v>140</v>
      </c>
      <c r="C2" s="29" t="s">
        <v>155</v>
      </c>
      <c r="D2" s="29" t="s">
        <v>156</v>
      </c>
      <c r="E2" s="29" t="s">
        <v>157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141</v>
      </c>
      <c r="B3" s="14">
        <f>COUNTIFS('Sales Log'!$I$14:$I$213,"No")/B4</f>
        <v>0.53333333333333333</v>
      </c>
      <c r="C3" s="14">
        <f>COUNTIFS('Sales Log'!$I$14:$I$213,"No",'Sales Log'!$V$14:$V$213,C2)/C4</f>
        <v>0.55813953488372092</v>
      </c>
      <c r="D3" s="14">
        <f>COUNTIFS('Sales Log'!$I$14:$I$213,"No",'Sales Log'!$V$14:$V$213,D2)/D4</f>
        <v>0.45454545454545453</v>
      </c>
      <c r="E3" s="14">
        <f>COUNTIFS('Sales Log'!$I$14:$I$213,"No",'Sales Log'!$V$14:$V$213,E2)/E4</f>
        <v>0.375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124</v>
      </c>
      <c r="B4" s="6">
        <f>'Scoreboard Total'!B3</f>
        <v>105</v>
      </c>
      <c r="C4" s="39">
        <f>COUNTIF('Sales Log'!$V$14:$V$213,C2)</f>
        <v>86</v>
      </c>
      <c r="D4" s="39">
        <f>COUNTIF('Sales Log'!$V$14:$V$213,D2)</f>
        <v>11</v>
      </c>
      <c r="E4" s="39">
        <f>COUNTIF('Sales Log'!$V$14:$V$213,E2)</f>
        <v>8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125</v>
      </c>
      <c r="B5" s="7">
        <f>'Sales Log'!$F$214</f>
        <v>35.390476190476193</v>
      </c>
      <c r="C5" s="24">
        <f ca="1">AVERAGEIF('Sales Log'!$V$14:$V$213,C2,'Sales Log'!$F$14:$F$209)</f>
        <v>37.360465116279073</v>
      </c>
      <c r="D5" s="24">
        <f ca="1">AVERAGEIF('Sales Log'!$V$14:$V$213,D2,'Sales Log'!$F$14:$F$209)</f>
        <v>24.181818181818183</v>
      </c>
      <c r="E5" s="24">
        <f ca="1">AVERAGEIF('Sales Log'!$V$14:$V$213,E2,'Sales Log'!$F$14:$F$209)</f>
        <v>29.625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126</v>
      </c>
      <c r="B6" s="8">
        <f>'Sales Log'!$J$214</f>
        <v>23458.047619047618</v>
      </c>
      <c r="C6" s="8">
        <f>AVERAGEIF('Sales Log'!$V$14:$V$213,C2,'Sales Log'!$J$14:$J$213)</f>
        <v>23163.953488372092</v>
      </c>
      <c r="D6" s="8">
        <f>AVERAGEIF('Sales Log'!$V$14:$V$213,D2,'Sales Log'!$J$14:$J$213)</f>
        <v>24354.090909090908</v>
      </c>
      <c r="E6" s="8">
        <f>AVERAGEIF('Sales Log'!$V$14:$V$213,E2,'Sales Log'!$J$14:$J$213)</f>
        <v>25387.5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127</v>
      </c>
      <c r="B7" s="8">
        <f>'Sales Log'!$K$214</f>
        <v>23505.971428571429</v>
      </c>
      <c r="C7" s="8">
        <f>AVERAGEIF('Sales Log'!$V$14:$V$213,C2,'Sales Log'!$K$14:$K$213)</f>
        <v>23247.174418604653</v>
      </c>
      <c r="D7" s="8">
        <f>AVERAGEIF('Sales Log'!$V$14:$V$213,D2,'Sales Log'!$K$14:$K$213)</f>
        <v>24400.909090909092</v>
      </c>
      <c r="E7" s="8">
        <f>AVERAGEIF('Sales Log'!$V$14:$V$213,E2,'Sales Log'!$K$14:$K$213)</f>
        <v>25057.5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128</v>
      </c>
      <c r="B8" s="8">
        <f>'Sales Log'!$M$214</f>
        <v>24452.447135907863</v>
      </c>
      <c r="C8" s="8">
        <f>AVERAGEIF('Sales Log'!$V$14:$V$213,C2,'Sales Log'!$M$14:$M$213)</f>
        <v>24269.407738596703</v>
      </c>
      <c r="D8" s="8">
        <f>AVERAGEIF('Sales Log'!$V$14:$V$213,D2,'Sales Log'!$M$14:$M$213)</f>
        <v>24977.914910546646</v>
      </c>
      <c r="E8" s="8">
        <f>AVERAGEIF('Sales Log'!$V$14:$V$213,E2,'Sales Log'!$M$14:$M$213)</f>
        <v>26654.704601798578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129</v>
      </c>
      <c r="B9" s="9">
        <f>'Sales Log'!L214</f>
        <v>0.95933333333333359</v>
      </c>
      <c r="C9" s="14">
        <f>C6/C8</f>
        <v>0.95445071168891527</v>
      </c>
      <c r="D9" s="14">
        <f t="shared" ref="D9:L9" si="0">D6/D8</f>
        <v>0.97502497691701495</v>
      </c>
      <c r="E9" s="14">
        <f t="shared" si="0"/>
        <v>0.95245850138916677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>
        <f>'Sales Log'!$N$214</f>
        <v>0.96129321118349109</v>
      </c>
      <c r="C10" s="14">
        <f>C7/C8</f>
        <v>0.95787975829478744</v>
      </c>
      <c r="D10" s="14">
        <f t="shared" ref="D10:L10" si="1">D7/D8</f>
        <v>0.97689936002648803</v>
      </c>
      <c r="E10" s="14">
        <f t="shared" si="1"/>
        <v>0.94007794775220266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-47.923809523809524</v>
      </c>
      <c r="C11" s="8">
        <f>AVERAGEIF('Sales Log'!$V$14:$V$213,C2,'Sales Log'!$O$14:$O$213)</f>
        <v>-83.220930232558146</v>
      </c>
      <c r="D11" s="8">
        <f>AVERAGEIF('Sales Log'!$V$14:$V$213,D2,'Sales Log'!$O$14:$O$213)</f>
        <v>-46.81818181818182</v>
      </c>
      <c r="E11" s="8">
        <f>AVERAGEIF('Sales Log'!$V$14:$V$213,E2,'Sales Log'!$O$14:$O$213)</f>
        <v>330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132</v>
      </c>
      <c r="B12" s="8">
        <f>'Sales Log'!$P$214</f>
        <v>1959.2952380952381</v>
      </c>
      <c r="C12" s="8">
        <f>AVERAGEIF('Sales Log'!$V$14:$V$213,C2,'Sales Log'!$P$14:$P$213)</f>
        <v>1921.8255813953488</v>
      </c>
      <c r="D12" s="8">
        <f>AVERAGEIF('Sales Log'!$V$14:$V$213,D2,'Sales Log'!$P$14:$P$213)</f>
        <v>2525.090909090909</v>
      </c>
      <c r="E12" s="8">
        <f>AVERAGEIF('Sales Log'!$V$14:$V$213,E2,'Sales Log'!$P$14:$P$213)</f>
        <v>1584.125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133</v>
      </c>
      <c r="B13" s="8">
        <f>'Sales Log'!$Q$214</f>
        <v>1546.7211538461538</v>
      </c>
      <c r="C13" s="8">
        <f>AVERAGEIF('Sales Log'!$V$14:$V$213,C2,'Sales Log'!$Q$14:$Q$213)</f>
        <v>1636.7411764705882</v>
      </c>
      <c r="D13" s="8">
        <f>AVERAGEIF('Sales Log'!$V$14:$V$213,D2,'Sales Log'!$Q$14:$Q$213)</f>
        <v>599.63636363636363</v>
      </c>
      <c r="E13" s="8">
        <f>AVERAGEIF('Sales Log'!$V$14:$V$213,E2,'Sales Log'!$Q$14:$Q$213)</f>
        <v>1892.5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134</v>
      </c>
      <c r="B14" s="8">
        <f>'Sales Log'!$R$214</f>
        <v>3491.2857142857142</v>
      </c>
      <c r="C14" s="8">
        <f>AVERAGEIF('Sales Log'!$V$14:$V$213,C2,'Sales Log'!$R$14:$R$213)</f>
        <v>3539.5348837209303</v>
      </c>
      <c r="D14" s="8">
        <f>AVERAGEIF('Sales Log'!$V$14:$V$213,D2,'Sales Log'!$R$14:$R$213)</f>
        <v>3124.7272727272725</v>
      </c>
      <c r="E14" s="8">
        <f>AVERAGEIF('Sales Log'!$V$14:$V$213,E2,'Sales Log'!$R$14:$R$213)</f>
        <v>3476.625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135</v>
      </c>
      <c r="B15" s="10">
        <f t="shared" ref="B15:L15" si="2">B14*B4</f>
        <v>366585</v>
      </c>
      <c r="C15" s="10">
        <f t="shared" si="2"/>
        <v>304400</v>
      </c>
      <c r="D15" s="10">
        <f t="shared" si="2"/>
        <v>34372</v>
      </c>
      <c r="E15" s="10">
        <f t="shared" si="2"/>
        <v>27813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89</v>
      </c>
      <c r="B16" s="9">
        <f>(B14/(B7)*(360/B5))</f>
        <v>1.5108567247816356</v>
      </c>
      <c r="C16" s="9">
        <f t="shared" ref="C16:L16" ca="1" si="3">(C14/(C7)*(360/C5))</f>
        <v>1.467122066660089</v>
      </c>
      <c r="D16" s="9">
        <f t="shared" ca="1" si="3"/>
        <v>1.9064247183287377</v>
      </c>
      <c r="E16" s="9">
        <f t="shared" ca="1" si="3"/>
        <v>1.6860259378113884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0.34285714285714286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137</v>
      </c>
      <c r="B18" s="114">
        <f>'Sales Log'!$AB$214</f>
        <v>86.416666666666671</v>
      </c>
      <c r="C18" s="114">
        <f>AVERAGEIF('Sales Log'!$V$14:$V$213,C2,'Sales Log'!$AB$14:$AB$213)</f>
        <v>20.366666666666667</v>
      </c>
      <c r="D18" s="114">
        <f>AVERAGEIF('Sales Log'!$V$14:$V$213,D2,'Sales Log'!$AB$14:$AB$213)</f>
        <v>666.66666666666663</v>
      </c>
      <c r="E18" s="114">
        <f>AVERAGEIF('Sales Log'!$V$14:$V$213,E2,'Sales Log'!$AB$14:$AB$213)</f>
        <v>166.66666666666666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4.25"/>
  <cols>
    <col min="1" max="1" width="37.73046875" bestFit="1" customWidth="1"/>
    <col min="2" max="2" width="13.3984375" customWidth="1"/>
    <col min="3" max="3" width="19.73046875" customWidth="1"/>
    <col min="4" max="4" width="20.398437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78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105</v>
      </c>
      <c r="C3" s="6">
        <f>COUNTIF('Sales Log'!$H$14:$H$213,C2)</f>
        <v>13</v>
      </c>
      <c r="D3" s="6">
        <f>COUNTIF('Sales Log'!$H$14:$H$213,D2)</f>
        <v>92</v>
      </c>
    </row>
    <row r="4" spans="1:4" ht="22.5" customHeight="1">
      <c r="A4" s="5" t="s">
        <v>125</v>
      </c>
      <c r="B4" s="7">
        <f>'Sales Log'!$F$214</f>
        <v>35.390476190476193</v>
      </c>
      <c r="C4" s="24">
        <f ca="1">AVERAGEIF('Sales Log'!$H$14:$H$213,C2,'Sales Log'!$F$14:$F$209)</f>
        <v>39.615384615384613</v>
      </c>
      <c r="D4" s="24">
        <f ca="1">AVERAGEIF('Sales Log'!$H$14:$H$213,D2,'Sales Log'!$F$14:$F$209)</f>
        <v>34.793478260869563</v>
      </c>
    </row>
    <row r="5" spans="1:4" ht="22.5" customHeight="1">
      <c r="A5" s="5" t="s">
        <v>126</v>
      </c>
      <c r="B5" s="8">
        <f>'Sales Log'!$J$214</f>
        <v>23458.047619047618</v>
      </c>
      <c r="C5" s="8">
        <f>AVERAGEIF('Sales Log'!$H$14:$H$213,C2,'Sales Log'!J14:J213)</f>
        <v>26207.692307692309</v>
      </c>
      <c r="D5" s="8">
        <f>AVERAGEIF('Sales Log'!$H$14:$H$213,D2,'Sales Log'!K14:K213)</f>
        <v>22861.217391304348</v>
      </c>
    </row>
    <row r="6" spans="1:4" ht="22.5" customHeight="1">
      <c r="A6" s="5" t="s">
        <v>127</v>
      </c>
      <c r="B6" s="8">
        <f>'Sales Log'!$K$214</f>
        <v>23505.971428571429</v>
      </c>
      <c r="C6" s="8">
        <f>AVERAGEIF('Sales Log'!$H$14:$H$213,C2,'Sales Log'!$K$14:$K$213)</f>
        <v>28068.846153846152</v>
      </c>
      <c r="D6" s="8">
        <f>AVERAGEIF('Sales Log'!$H$14:$H$213,D2,'Sales Log'!$K$14:$K$213)</f>
        <v>22861.217391304348</v>
      </c>
    </row>
    <row r="7" spans="1:4" ht="22.5" customHeight="1">
      <c r="A7" s="5" t="s">
        <v>128</v>
      </c>
      <c r="B7" s="8">
        <f>'Sales Log'!$M$214</f>
        <v>24452.447135907863</v>
      </c>
      <c r="C7" s="8">
        <f>AVERAGEIF('Sales Log'!$H$14:$H$213,C2,'Sales Log'!$M$14:$M$213)</f>
        <v>27606.281696520549</v>
      </c>
      <c r="D7" s="8">
        <f>AVERAGEIF('Sales Log'!$H$14:$H$213,D2,'Sales Log'!$M$14:$M$213)</f>
        <v>24090.022872771206</v>
      </c>
    </row>
    <row r="8" spans="1:4" ht="22.5" customHeight="1">
      <c r="A8" s="5" t="s">
        <v>129</v>
      </c>
      <c r="B8" s="9">
        <f>'Sales Log'!L214</f>
        <v>0.95933333333333359</v>
      </c>
      <c r="C8" s="14">
        <f>C5/C7</f>
        <v>0.94933800197349594</v>
      </c>
      <c r="D8" s="14">
        <f>D5/D7</f>
        <v>0.94899110358023908</v>
      </c>
    </row>
    <row r="9" spans="1:4" ht="22.5" customHeight="1">
      <c r="A9" s="5" t="s">
        <v>130</v>
      </c>
      <c r="B9" s="9">
        <f>'Sales Log'!$N$214</f>
        <v>0.96129321118349109</v>
      </c>
      <c r="C9" s="14">
        <f>C6/C7</f>
        <v>1.0167557682128523</v>
      </c>
      <c r="D9" s="14">
        <f>D6/D7</f>
        <v>0.94899110358023908</v>
      </c>
    </row>
    <row r="10" spans="1:4" ht="22.5" customHeight="1">
      <c r="A10" s="5" t="s">
        <v>131</v>
      </c>
      <c r="B10" s="8">
        <f>'Sales Log'!$O$214</f>
        <v>-47.923809523809524</v>
      </c>
      <c r="C10" s="8">
        <f>AVERAGEIF('Sales Log'!$H$14:$H$213,C2,'Sales Log'!$O$14:$O$213)</f>
        <v>-1861.1538461538462</v>
      </c>
      <c r="D10" s="8">
        <f>AVERAGEIF('Sales Log'!$H$14:$H$213,D2,'Sales Log'!$O$14:$O$213)</f>
        <v>208.29347826086956</v>
      </c>
    </row>
    <row r="11" spans="1:4" ht="22.5" customHeight="1">
      <c r="A11" s="5" t="s">
        <v>132</v>
      </c>
      <c r="B11" s="8">
        <f>'Sales Log'!$P$214</f>
        <v>1959.2952380952381</v>
      </c>
      <c r="C11" s="8">
        <f>AVERAGEIF('Sales Log'!$H$14:$H$213,C2,'Sales Log'!$P$14:$P$213)</f>
        <v>1918.5384615384614</v>
      </c>
      <c r="D11" s="8">
        <f>AVERAGEIF('Sales Log'!$H$14:$H$213,D2,'Sales Log'!$P$14:$P$213)</f>
        <v>1965.054347826087</v>
      </c>
    </row>
    <row r="12" spans="1:4" ht="22.5" customHeight="1">
      <c r="A12" s="5" t="s">
        <v>133</v>
      </c>
      <c r="B12" s="8">
        <f>'Sales Log'!$Q$214</f>
        <v>1546.7211538461538</v>
      </c>
      <c r="C12" s="8">
        <f>AVERAGEIF('Sales Log'!$H$14:$H$213,C2,'Sales Log'!$Q$14:$Q$213)</f>
        <v>3493.1538461538462</v>
      </c>
      <c r="D12" s="8">
        <f>AVERAGEIF('Sales Log'!$H$14:$H$213,D2,'Sales Log'!$Q$14:$Q$213)</f>
        <v>1268.6593406593406</v>
      </c>
    </row>
    <row r="13" spans="1:4" ht="22.5" customHeight="1">
      <c r="A13" s="5" t="s">
        <v>134</v>
      </c>
      <c r="B13" s="8">
        <f>'Sales Log'!$R$214</f>
        <v>3491.2857142857142</v>
      </c>
      <c r="C13" s="8">
        <f>AVERAGEIF('Sales Log'!$H$14:$H$213,C2,'Sales Log'!$R$14:$R$213)</f>
        <v>5411.6923076923076</v>
      </c>
      <c r="D13" s="8">
        <f>AVERAGEIF('Sales Log'!$H$14:$H$213,D2,'Sales Log'!$R$14:$R$213)</f>
        <v>3219.9239130434785</v>
      </c>
    </row>
    <row r="14" spans="1:4" ht="22.5" customHeight="1">
      <c r="A14" s="5" t="s">
        <v>135</v>
      </c>
      <c r="B14" s="10">
        <f>B13*B3</f>
        <v>366585</v>
      </c>
      <c r="C14" s="10">
        <f>C13*C3</f>
        <v>70352</v>
      </c>
      <c r="D14" s="10">
        <f t="shared" ref="D14" si="0">D13*D3</f>
        <v>296233</v>
      </c>
    </row>
    <row r="15" spans="1:4" ht="22.5" customHeight="1">
      <c r="A15" s="5" t="s">
        <v>89</v>
      </c>
      <c r="B15" s="9">
        <f>(B13/(B6)*(360/B4))</f>
        <v>1.5108567247816356</v>
      </c>
      <c r="C15" s="9">
        <f t="shared" ref="C15:D15" ca="1" si="1">(C13/(C6)*(360/C4))</f>
        <v>1.7520526785401893</v>
      </c>
      <c r="D15" s="9">
        <f t="shared" ca="1" si="1"/>
        <v>1.4573065266752683</v>
      </c>
    </row>
    <row r="16" spans="1:4" ht="22.5" customHeight="1">
      <c r="A16" s="5" t="s">
        <v>136</v>
      </c>
      <c r="B16" s="9">
        <f>'Sales Log'!AA214/'Scoreboard Total'!B3</f>
        <v>0.34285714285714286</v>
      </c>
      <c r="C16" s="9">
        <f>COUNTIFS('Sales Log'!$H$14:$H$213,C2,'Sales Log'!$AA$14:$AA$213,"Yes")/C$3</f>
        <v>0.61538461538461542</v>
      </c>
      <c r="D16" s="9">
        <f>COUNTIFS('Sales Log'!$H$14:$H$213,D2,'Sales Log'!$AA$14:$AA$213,"Yes")/D$3</f>
        <v>0.30434782608695654</v>
      </c>
    </row>
    <row r="17" spans="1:4" ht="22.5" customHeight="1">
      <c r="A17" s="5" t="s">
        <v>137</v>
      </c>
      <c r="B17" s="114">
        <f>'Sales Log'!$AB$214</f>
        <v>86.416666666666671</v>
      </c>
      <c r="C17" s="114">
        <f>AVERAGEIF('Sales Log'!$H$14:$H$213,C2,'Sales Log'!$AB$14:$AB$213)</f>
        <v>120</v>
      </c>
      <c r="D17" s="114">
        <f>AVERAGEIF('Sales Log'!$H$14:$H$213,D2,'Sales Log'!$AB$14:$AB$213)</f>
        <v>76.821428571428569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4.25"/>
  <cols>
    <col min="1" max="1" width="37.73046875" bestFit="1" customWidth="1"/>
    <col min="2" max="2" width="13.3984375" customWidth="1"/>
    <col min="3" max="3" width="19.73046875" customWidth="1"/>
    <col min="4" max="4" width="20.398437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79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105</v>
      </c>
      <c r="C3" s="6">
        <f>COUNTIF('Sales Log'!$I$14:$I$213,C2)</f>
        <v>49</v>
      </c>
      <c r="D3" s="6">
        <f>COUNTIF('Sales Log'!$I$14:$I$213,D2)</f>
        <v>56</v>
      </c>
    </row>
    <row r="4" spans="1:4" ht="22.5" customHeight="1">
      <c r="A4" s="5" t="s">
        <v>125</v>
      </c>
      <c r="B4" s="7">
        <f>'Sales Log'!$F$214</f>
        <v>35.390476190476193</v>
      </c>
      <c r="C4" s="24">
        <f ca="1">AVERAGEIF('Sales Log'!$I$14:$I$213,C2,'Sales Log'!$F$14:$F$209)</f>
        <v>31.857142857142858</v>
      </c>
      <c r="D4" s="24">
        <f ca="1">AVERAGEIF('Sales Log'!$I$14:$I$213,D2,'Sales Log'!$F$14:$F$209)</f>
        <v>38.482142857142854</v>
      </c>
    </row>
    <row r="5" spans="1:4" ht="22.5" customHeight="1">
      <c r="A5" s="5" t="s">
        <v>126</v>
      </c>
      <c r="B5" s="8">
        <f>'Sales Log'!$J$214</f>
        <v>23458.047619047618</v>
      </c>
      <c r="C5" s="8">
        <f>AVERAGEIF('Sales Log'!$I$14:$I$213,C2,'Sales Log'!J14:J213)</f>
        <v>20028.571428571428</v>
      </c>
      <c r="D5" s="8">
        <f>AVERAGEIF('Sales Log'!$I$14:$I$213,D2,'Sales Log'!K14:K213)</f>
        <v>26202.017857142859</v>
      </c>
    </row>
    <row r="6" spans="1:4" ht="22.5" customHeight="1">
      <c r="A6" s="5" t="s">
        <v>127</v>
      </c>
      <c r="B6" s="8">
        <f>'Sales Log'!$K$214</f>
        <v>23505.971428571429</v>
      </c>
      <c r="C6" s="8">
        <f>AVERAGEIF('Sales Log'!$I$14:$I$213,C2,'Sales Log'!$K$14:$K$213)</f>
        <v>20424.775510204083</v>
      </c>
      <c r="D6" s="8">
        <f>AVERAGEIF('Sales Log'!$I$14:$I$213,D2,'Sales Log'!$K$14:$K$213)</f>
        <v>26202.017857142859</v>
      </c>
    </row>
    <row r="7" spans="1:4" ht="22.5" customHeight="1">
      <c r="A7" s="5" t="s">
        <v>128</v>
      </c>
      <c r="B7" s="8">
        <f>'Sales Log'!$M$214</f>
        <v>24452.447135907863</v>
      </c>
      <c r="C7" s="8">
        <f>AVERAGEIF('Sales Log'!$I$14:$I$213,C2,'Sales Log'!$M$14:$M$213)</f>
        <v>20908.098272046242</v>
      </c>
      <c r="D7" s="8">
        <f>AVERAGEIF('Sales Log'!$I$14:$I$213,D2,'Sales Log'!$M$14:$M$213)</f>
        <v>27690.481268204494</v>
      </c>
    </row>
    <row r="8" spans="1:4" ht="22.5" customHeight="1">
      <c r="A8" s="5" t="s">
        <v>129</v>
      </c>
      <c r="B8" s="9">
        <f>'Sales Log'!L214</f>
        <v>0.95933333333333359</v>
      </c>
      <c r="C8" s="14">
        <f>C5/C7</f>
        <v>0.95793367564898402</v>
      </c>
      <c r="D8" s="14">
        <f>D5/D7</f>
        <v>0.9462463871015937</v>
      </c>
    </row>
    <row r="9" spans="1:4" ht="22.5" customHeight="1">
      <c r="A9" s="5" t="s">
        <v>130</v>
      </c>
      <c r="B9" s="9">
        <f>'Sales Log'!$N$214</f>
        <v>0.96129321118349109</v>
      </c>
      <c r="C9" s="14">
        <f>C6/C7</f>
        <v>0.97688346613099897</v>
      </c>
      <c r="D9" s="14">
        <f>D6/D7</f>
        <v>0.9462463871015937</v>
      </c>
    </row>
    <row r="10" spans="1:4" ht="22.5" customHeight="1">
      <c r="A10" s="5" t="s">
        <v>131</v>
      </c>
      <c r="B10" s="8">
        <f>'Sales Log'!$O$214</f>
        <v>-47.923809523809524</v>
      </c>
      <c r="C10" s="8">
        <f>AVERAGEIF('Sales Log'!$I$14:$I$213,C2,'Sales Log'!$O$14:$O$213)</f>
        <v>-396.20408163265307</v>
      </c>
      <c r="D10" s="8">
        <f>AVERAGEIF('Sales Log'!$I$14:$I$213,D2,'Sales Log'!$O$14:$O$213)</f>
        <v>256.82142857142856</v>
      </c>
    </row>
    <row r="11" spans="1:4" ht="22.5" customHeight="1">
      <c r="A11" s="5" t="s">
        <v>132</v>
      </c>
      <c r="B11" s="8">
        <f>'Sales Log'!$P$214</f>
        <v>1959.2952380952381</v>
      </c>
      <c r="C11" s="8">
        <f>AVERAGEIF('Sales Log'!$I$14:$I$213,C2,'Sales Log'!$P$14:$P$213)</f>
        <v>2220.7346938775509</v>
      </c>
      <c r="D11" s="8">
        <f>AVERAGEIF('Sales Log'!$I$14:$I$213,D2,'Sales Log'!$P$14:$P$213)</f>
        <v>1730.5357142857142</v>
      </c>
    </row>
    <row r="12" spans="1:4" ht="22.5" customHeight="1">
      <c r="A12" s="5" t="s">
        <v>133</v>
      </c>
      <c r="B12" s="8">
        <f>'Sales Log'!$Q$214</f>
        <v>1546.7211538461538</v>
      </c>
      <c r="C12" s="8">
        <f>AVERAGEIF('Sales Log'!$I$14:$I$213,C2,'Sales Log'!$Q$14:$Q$213)</f>
        <v>1643.5510204081634</v>
      </c>
      <c r="D12" s="8">
        <f>AVERAGEIF('Sales Log'!$I$14:$I$213,D2,'Sales Log'!$Q$14:$Q$213)</f>
        <v>1460.4545454545455</v>
      </c>
    </row>
    <row r="13" spans="1:4" ht="22.5" customHeight="1">
      <c r="A13" s="5" t="s">
        <v>134</v>
      </c>
      <c r="B13" s="8">
        <f>'Sales Log'!$R$214</f>
        <v>3491.2857142857142</v>
      </c>
      <c r="C13" s="8">
        <f>AVERAGEIF('Sales Log'!$I$14:$I$213,C2,'Sales Log'!$R$14:$R$213)</f>
        <v>3864.2857142857142</v>
      </c>
      <c r="D13" s="8">
        <f>AVERAGEIF('Sales Log'!$I$14:$I$213,D2,'Sales Log'!$R$14:$R$213)</f>
        <v>3164.9107142857142</v>
      </c>
    </row>
    <row r="14" spans="1:4" ht="22.5" customHeight="1">
      <c r="A14" s="5" t="s">
        <v>135</v>
      </c>
      <c r="B14" s="10">
        <f>B13*B3</f>
        <v>366585</v>
      </c>
      <c r="C14" s="10">
        <f>C13*C3</f>
        <v>189350</v>
      </c>
      <c r="D14" s="10">
        <f t="shared" ref="D14" si="0">D13*D3</f>
        <v>177235</v>
      </c>
    </row>
    <row r="15" spans="1:4" ht="22.5" customHeight="1">
      <c r="A15" s="5" t="s">
        <v>89</v>
      </c>
      <c r="B15" s="9">
        <f>(B13/(B6)*(360/B4))</f>
        <v>1.5108567247816356</v>
      </c>
      <c r="C15" s="9">
        <f t="shared" ref="C15:D15" ca="1" si="1">(C13/(C6)*(360/C4))</f>
        <v>2.1379995786568746</v>
      </c>
      <c r="D15" s="9">
        <f t="shared" ca="1" si="1"/>
        <v>1.1299779725999244</v>
      </c>
    </row>
    <row r="16" spans="1:4" ht="22.5" customHeight="1">
      <c r="A16" s="5" t="s">
        <v>136</v>
      </c>
      <c r="B16" s="9">
        <f>'Sales Log'!AA214/'Scoreboard Total'!B3</f>
        <v>0.34285714285714286</v>
      </c>
      <c r="C16" s="9">
        <f>COUNTIFS('Sales Log'!$I$14:$I$213,C2,'Sales Log'!$AA$14:$AA$213,"Yes")/C$3</f>
        <v>0.2857142857142857</v>
      </c>
      <c r="D16" s="9">
        <f>COUNTIFS('Sales Log'!$I$14:$I$213,D2,'Sales Log'!$AA$14:$AA$213,"Yes")/D$3</f>
        <v>0.39285714285714285</v>
      </c>
    </row>
    <row r="17" spans="1:4" ht="22.5" customHeight="1">
      <c r="A17" s="5" t="s">
        <v>137</v>
      </c>
      <c r="B17" s="114">
        <f>'Sales Log'!$AB$214</f>
        <v>86.416666666666671</v>
      </c>
      <c r="C17" s="114">
        <f>AVERAGEIF('Sales Log'!$I$14:$I$213,C2,'Sales Log'!$AB$14:$AB$213)</f>
        <v>-2.8571428571428572</v>
      </c>
      <c r="D17" s="114">
        <f>AVERAGEIF('Sales Log'!$I$14:$I$213,D2,'Sales Log'!$AB$14:$AB$213)</f>
        <v>143.22727272727272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A12" sqref="A12"/>
    </sheetView>
  </sheetViews>
  <sheetFormatPr defaultRowHeight="14.25"/>
  <cols>
    <col min="1" max="1" width="31.265625" bestFit="1" customWidth="1"/>
    <col min="2" max="2" width="10.73046875" customWidth="1"/>
    <col min="3" max="9" width="20.73046875" customWidth="1"/>
    <col min="10" max="10" width="28.59765625" bestFit="1" customWidth="1"/>
    <col min="11" max="11" width="20.73046875" customWidth="1"/>
  </cols>
  <sheetData>
    <row r="1" spans="1:11" ht="22.5" customHeight="1">
      <c r="A1" s="25" t="s">
        <v>138</v>
      </c>
      <c r="B1" s="21"/>
    </row>
    <row r="2" spans="1:11" ht="22.5" customHeight="1">
      <c r="A2" s="28" t="s">
        <v>143</v>
      </c>
      <c r="B2" s="22" t="s">
        <v>140</v>
      </c>
      <c r="C2" s="32" t="s">
        <v>102</v>
      </c>
      <c r="D2" s="32" t="s">
        <v>109</v>
      </c>
      <c r="E2" s="32" t="s">
        <v>144</v>
      </c>
      <c r="F2" s="32" t="s">
        <v>145</v>
      </c>
      <c r="G2" s="32" t="s">
        <v>114</v>
      </c>
      <c r="H2" s="32" t="s">
        <v>146</v>
      </c>
      <c r="I2" s="32" t="s">
        <v>147</v>
      </c>
      <c r="J2" s="32" t="s">
        <v>118</v>
      </c>
      <c r="K2" s="32" t="s">
        <v>119</v>
      </c>
    </row>
    <row r="3" spans="1:11" ht="22.5" customHeight="1">
      <c r="A3" s="5" t="s">
        <v>124</v>
      </c>
      <c r="B3" s="6">
        <f>'Scoreboard Total'!B3</f>
        <v>105</v>
      </c>
      <c r="C3" s="6">
        <f>COUNTIF('Sales Log'!$G$14:$G$213,'Scoreboard by Source'!C2)</f>
        <v>70</v>
      </c>
      <c r="D3" s="6">
        <f>COUNTIF('Sales Log'!$G$14:$G$213,'Scoreboard by Source'!D2)</f>
        <v>14</v>
      </c>
      <c r="E3" s="6">
        <f>COUNTIF('Sales Log'!$G$14:$G$213,'Scoreboard by Source'!E2)</f>
        <v>11</v>
      </c>
      <c r="F3" s="6">
        <f>COUNTIF('Sales Log'!$G$14:$G$213,'Scoreboard by Source'!F2)</f>
        <v>5</v>
      </c>
      <c r="G3" s="6">
        <f>COUNTIF('Sales Log'!$G$14:$G$213,'Scoreboard by Source'!G2)</f>
        <v>0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4</v>
      </c>
      <c r="K3" s="6">
        <f>COUNTIF('Sales Log'!$G$14:$G$213,'Scoreboard by Source'!K2)</f>
        <v>0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0.66666666666666663</v>
      </c>
      <c r="D4" s="9">
        <f>D3/'Sales Log'!$D$214</f>
        <v>0.13333333333333333</v>
      </c>
      <c r="E4" s="9">
        <f>E3/'Sales Log'!$D$214</f>
        <v>0.10476190476190476</v>
      </c>
      <c r="F4" s="9">
        <f>F3/'Sales Log'!$D$214</f>
        <v>4.7619047619047616E-2</v>
      </c>
      <c r="G4" s="9">
        <f>G3/'Sales Log'!$D$214</f>
        <v>0</v>
      </c>
      <c r="H4" s="9">
        <f>H3/'Sales Log'!$D$214</f>
        <v>9.5238095238095247E-3</v>
      </c>
      <c r="I4" s="9">
        <f>I3/'Sales Log'!$D$214</f>
        <v>0</v>
      </c>
      <c r="J4" s="9">
        <f>J3/'Sales Log'!$D$214</f>
        <v>3.8095238095238099E-2</v>
      </c>
      <c r="K4" s="9">
        <f>K3/'Sales Log'!$D$214</f>
        <v>0</v>
      </c>
    </row>
    <row r="5" spans="1:11" ht="22.5" customHeight="1">
      <c r="A5" s="5" t="s">
        <v>141</v>
      </c>
      <c r="B5" s="14">
        <f>COUNTIFS('Sales Log'!$I$14:$I$213,"No")/B3</f>
        <v>0.53333333333333333</v>
      </c>
      <c r="C5" s="14">
        <f>COUNTIFS('Sales Log'!$I$14:$I$213,"No",'Sales Log'!$G$14:$G$213,'Scoreboard by Source'!C2)/C3</f>
        <v>0.51428571428571423</v>
      </c>
      <c r="D5" s="14">
        <f>COUNTIFS('Sales Log'!$I$14:$I$213,"No",'Sales Log'!$G$14:$G$213,'Scoreboard by Source'!D2)/D3</f>
        <v>0.5</v>
      </c>
      <c r="E5" s="14">
        <f>COUNTIFS('Sales Log'!$I$14:$I$213,"No",'Sales Log'!$G$14:$G$213,'Scoreboard by Source'!E2)/E3</f>
        <v>0.81818181818181823</v>
      </c>
      <c r="F5" s="14">
        <f>COUNTIFS('Sales Log'!$I$14:$I$213,"No",'Sales Log'!$G$14:$G$213,'Scoreboard by Source'!F2)/F3</f>
        <v>0.4</v>
      </c>
      <c r="G5" s="14" t="e">
        <f>COUNTIFS('Sales Log'!$I$14:$I$213,"No",'Sales Log'!$G$14:$G$213,'Scoreboard by Source'!G2)/G3</f>
        <v>#DIV/0!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>
        <f>COUNTIFS('Sales Log'!$I$14:$I$213,"No",'Sales Log'!$G$14:$G$213,'Scoreboard by Source'!J2)/J3</f>
        <v>0.5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125</v>
      </c>
      <c r="B6" s="7">
        <f>'Sales Log'!$F$214</f>
        <v>35.390476190476193</v>
      </c>
      <c r="C6" s="24">
        <f ca="1">AVERAGEIF('Sales Log'!$G$14:$G$213,C2,'Sales Log'!$F$14:$F$209)</f>
        <v>36.200000000000003</v>
      </c>
      <c r="D6" s="24">
        <f ca="1">AVERAGEIF('Sales Log'!$G$14:$G$213,D2,'Sales Log'!$F$14:$F$209)</f>
        <v>34.642857142857146</v>
      </c>
      <c r="E6" s="24">
        <f ca="1">AVERAGEIF('Sales Log'!$G$14:$G$213,E2,'Sales Log'!$F$14:$F$209)</f>
        <v>27.363636363636363</v>
      </c>
      <c r="F6" s="24">
        <f ca="1">AVERAGEIF('Sales Log'!$G$14:$G$213,F2,'Sales Log'!$F$14:$F$209)</f>
        <v>39.4</v>
      </c>
      <c r="G6" s="24" t="e">
        <f ca="1">AVERAGEIF('Sales Log'!$G$14:$G$213,G2,'Sales Log'!$F$14:$F$209)</f>
        <v>#DIV/0!</v>
      </c>
      <c r="H6" s="24">
        <f ca="1">AVERAGEIF('Sales Log'!$G$14:$G$213,H2,'Sales Log'!$F$14:$F$209)</f>
        <v>42</v>
      </c>
      <c r="I6" s="24" t="e">
        <f ca="1">AVERAGEIF('Sales Log'!$G$14:$G$213,I2,'Sales Log'!$F$14:$F$209)</f>
        <v>#DIV/0!</v>
      </c>
      <c r="J6" s="24">
        <f ca="1">AVERAGEIF('Sales Log'!$G$14:$G$213,J2,'Sales Log'!$F$14:$F$209)</f>
        <v>39.25</v>
      </c>
      <c r="K6" s="24" t="e">
        <f ca="1">AVERAGEIF('Sales Log'!$G$14:$G$213,K2,'Sales Log'!$F$14:$F$209)</f>
        <v>#DIV/0!</v>
      </c>
    </row>
    <row r="7" spans="1:11" ht="22.5" customHeight="1">
      <c r="A7" s="5" t="s">
        <v>127</v>
      </c>
      <c r="B7" s="8">
        <f>'Sales Log'!$K$214</f>
        <v>23505.971428571429</v>
      </c>
      <c r="C7" s="8">
        <f>AVERAGEIF('Sales Log'!$G$14:$G$213,C2,'Sales Log'!$K$14:$K$213)</f>
        <v>22542.185714285715</v>
      </c>
      <c r="D7" s="8">
        <f>AVERAGEIF('Sales Log'!$G$14:$G$213,D2,'Sales Log'!$K$14:$K$213)</f>
        <v>23269.214285714286</v>
      </c>
      <c r="E7" s="8">
        <f>AVERAGEIF('Sales Log'!$G$14:$G$213,E2,'Sales Log'!$K$14:$K$213)</f>
        <v>25894.545454545456</v>
      </c>
      <c r="F7" s="8">
        <f>AVERAGEIF('Sales Log'!$G$14:$G$213,F2,'Sales Log'!$K$14:$K$213)</f>
        <v>26027.8</v>
      </c>
      <c r="G7" s="8" t="e">
        <f>AVERAGEIF('Sales Log'!$G$14:$G$213,G2,'Sales Log'!$K$14:$K$213)</f>
        <v>#DIV/0!</v>
      </c>
      <c r="H7" s="8">
        <f>AVERAGEIF('Sales Log'!$G$14:$G$213,H2,'Sales Log'!$K$14:$K$213)</f>
        <v>36026</v>
      </c>
      <c r="I7" s="8" t="e">
        <f>AVERAGEIF('Sales Log'!$G$14:$G$213,I2,'Sales Log'!$K$14:$K$213)</f>
        <v>#DIV/0!</v>
      </c>
      <c r="J7" s="8">
        <f>AVERAGEIF('Sales Log'!$G$14:$G$213,J2,'Sales Log'!$K$14:$K$213)</f>
        <v>28350</v>
      </c>
      <c r="K7" s="8" t="e">
        <f>AVERAGEIF('Sales Log'!$G$14:$G$213,K2,'Sales Log'!$K$14:$K$213)</f>
        <v>#DIV/0!</v>
      </c>
    </row>
    <row r="8" spans="1:11" ht="22.5" customHeight="1">
      <c r="A8" s="5" t="s">
        <v>149</v>
      </c>
      <c r="B8" s="9">
        <f>'Sales Log'!$N$214</f>
        <v>0.96129321118349109</v>
      </c>
      <c r="C8" s="14">
        <f>AVERAGEIF('Sales Log'!$G$14:$G$213,C2,'Sales Log'!$N14:$N$213)</f>
        <v>0.96630944361525906</v>
      </c>
      <c r="D8" s="14">
        <f>AVERAGEIF('Sales Log'!$G$14:$G$213,D2,'Sales Log'!$N14:$N$213)</f>
        <v>0.94695406498774926</v>
      </c>
      <c r="E8" s="14">
        <f>AVERAGEIF('Sales Log'!$G$14:$G$213,E2,'Sales Log'!$N14:$N$213)</f>
        <v>0.95927373024600859</v>
      </c>
      <c r="F8" s="14">
        <f>AVERAGEIF('Sales Log'!$G$14:$G$213,F2,'Sales Log'!$N14:$N$213)</f>
        <v>0.97951713170652877</v>
      </c>
      <c r="G8" s="14" t="e">
        <f>AVERAGEIF('Sales Log'!$G$14:$G$213,G2,'Sales Log'!$N14:$N$213)</f>
        <v>#DIV/0!</v>
      </c>
      <c r="H8" s="14">
        <f>AVERAGEIF('Sales Log'!$G$14:$G$213,H2,'Sales Log'!$N14:$N$213)</f>
        <v>0.93766301369863014</v>
      </c>
      <c r="I8" s="14" t="e">
        <f>AVERAGEIF('Sales Log'!$G$14:$G$213,I2,'Sales Log'!$N14:$N$213)</f>
        <v>#DIV/0!</v>
      </c>
      <c r="J8" s="14">
        <f>AVERAGEIF('Sales Log'!$G$14:$G$213,J2,'Sales Log'!$N14:$N$213)</f>
        <v>0.95718931686046504</v>
      </c>
      <c r="K8" s="14" t="e">
        <f>AVERAGEIF('Sales Log'!$G$14:$G$213,K2,'Sales Log'!$N14:$N$213)</f>
        <v>#DIV/0!</v>
      </c>
    </row>
    <row r="9" spans="1:11" ht="22.5" customHeight="1">
      <c r="A9" s="5" t="s">
        <v>131</v>
      </c>
      <c r="B9" s="8">
        <f>'Sales Log'!$O$214</f>
        <v>-47.923809523809524</v>
      </c>
      <c r="C9" s="8">
        <f>AVERAGEIF('Sales Log'!$G$14:$G$213,C2,'Sales Log'!$O$14:$O$213)</f>
        <v>-82.185714285714283</v>
      </c>
      <c r="D9" s="8">
        <f>AVERAGEIF('Sales Log'!$G$14:$G$213,D2,'Sales Log'!$O$14:$O$213)</f>
        <v>59.357142857142854</v>
      </c>
      <c r="E9" s="8">
        <f>AVERAGEIF('Sales Log'!$G$14:$G$213,E2,'Sales Log'!$O$14:$O$213)</f>
        <v>187.27272727272728</v>
      </c>
      <c r="F9" s="8">
        <f>AVERAGEIF('Sales Log'!$G$14:$G$213,F2,'Sales Log'!$O$14:$O$213)</f>
        <v>-408.8</v>
      </c>
      <c r="G9" s="8" t="e">
        <f>AVERAGEIF('Sales Log'!$G$14:$G$213,G2,'Sales Log'!$O$14:$O$213)</f>
        <v>#DIV/0!</v>
      </c>
      <c r="H9" s="8">
        <f>AVERAGEIF('Sales Log'!$G$14:$G$213,H2,'Sales Log'!$O$14:$O$213)</f>
        <v>474</v>
      </c>
      <c r="I9" s="8" t="e">
        <f>AVERAGEIF('Sales Log'!$G$14:$G$213,I2,'Sales Log'!$O$14:$O$213)</f>
        <v>#DIV/0!</v>
      </c>
      <c r="J9" s="8">
        <f>AVERAGEIF('Sales Log'!$G$14:$G$213,J2,'Sales Log'!$O$14:$O$213)</f>
        <v>-150</v>
      </c>
      <c r="K9" s="8" t="e">
        <f>AVERAGEIF('Sales Log'!$G$14:$G$213,K2,'Sales Log'!$O$14:$O$213)</f>
        <v>#DIV/0!</v>
      </c>
    </row>
    <row r="10" spans="1:11" ht="22.5" customHeight="1">
      <c r="A10" s="5" t="s">
        <v>150</v>
      </c>
      <c r="B10" s="8">
        <f>'Sales Log'!$P$214</f>
        <v>1959.2952380952381</v>
      </c>
      <c r="C10" s="8">
        <f>AVERAGEIF('Sales Log'!$G$14:$G$213,C2,'Sales Log'!$P$14:$P$213)</f>
        <v>2085.4</v>
      </c>
      <c r="D10" s="8">
        <f>AVERAGEIF('Sales Log'!$G$14:$G$213,D2,'Sales Log'!$P$14:$P$213)</f>
        <v>1718.1428571428571</v>
      </c>
      <c r="E10" s="8">
        <f>AVERAGEIF('Sales Log'!$G$14:$G$213,E2,'Sales Log'!$P$14:$P$213)</f>
        <v>2281.3636363636365</v>
      </c>
      <c r="F10" s="8">
        <f>AVERAGEIF('Sales Log'!$G$14:$G$213,F2,'Sales Log'!$P$14:$P$213)</f>
        <v>1199</v>
      </c>
      <c r="G10" s="8" t="e">
        <f>AVERAGEIF('Sales Log'!$G$14:$G$213,G2,'Sales Log'!$P$14:$P$213)</f>
        <v>#DIV/0!</v>
      </c>
      <c r="H10" s="8">
        <f>AVERAGEIF('Sales Log'!$G$14:$G$213,H2,'Sales Log'!$P$14:$P$213)</f>
        <v>1194</v>
      </c>
      <c r="I10" s="8" t="e">
        <f>AVERAGEIF('Sales Log'!$G$14:$G$213,I2,'Sales Log'!$P$14:$P$213)</f>
        <v>#DIV/0!</v>
      </c>
      <c r="J10" s="8">
        <f>AVERAGEIF('Sales Log'!$G$14:$G$213,J2,'Sales Log'!$P$14:$P$213)</f>
        <v>852.5</v>
      </c>
      <c r="K10" s="8" t="e">
        <f>AVERAGEIF('Sales Log'!$G$14:$G$213,K2,'Sales Log'!$P$14:$P$213)</f>
        <v>#DIV/0!</v>
      </c>
    </row>
    <row r="11" spans="1:11" ht="22.5" customHeight="1">
      <c r="A11" s="5" t="s">
        <v>133</v>
      </c>
      <c r="B11" s="8">
        <f>'Sales Log'!$Q$214</f>
        <v>1546.7211538461538</v>
      </c>
      <c r="C11" s="8">
        <f>AVERAGEIF('Sales Log'!$G$14:$G$213,C2,'Sales Log'!$Q$14:$Q$213)</f>
        <v>1411.8260869565217</v>
      </c>
      <c r="D11" s="8">
        <f>AVERAGEIF('Sales Log'!$G$14:$G$213,D2,'Sales Log'!$Q$14:$Q$213)</f>
        <v>1844.3571428571429</v>
      </c>
      <c r="E11" s="8">
        <f>AVERAGEIF('Sales Log'!$G$14:$G$213,E2,'Sales Log'!$Q$14:$Q$213)</f>
        <v>2067.3636363636365</v>
      </c>
      <c r="F11" s="8">
        <f>AVERAGEIF('Sales Log'!$G$14:$G$213,F2,'Sales Log'!$Q$14:$Q$213)</f>
        <v>1451.6</v>
      </c>
      <c r="G11" s="8" t="e">
        <f>AVERAGEIF('Sales Log'!$G$14:$G$213,G2,'Sales Log'!$Q$14:$Q$213)</f>
        <v>#DIV/0!</v>
      </c>
      <c r="H11" s="8">
        <f>AVERAGEIF('Sales Log'!$G$14:$G$213,H2,'Sales Log'!$Q$14:$Q$213)</f>
        <v>3633</v>
      </c>
      <c r="I11" s="8" t="e">
        <f>AVERAGEIF('Sales Log'!$G$14:$G$213,I2,'Sales Log'!$Q$14:$Q$213)</f>
        <v>#DIV/0!</v>
      </c>
      <c r="J11" s="8">
        <f>AVERAGEIF('Sales Log'!$G$14:$G$213,J2,'Sales Log'!$Q$14:$Q$213)</f>
        <v>997.5</v>
      </c>
      <c r="K11" s="8" t="e">
        <f>AVERAGEIF('Sales Log'!$G$14:$G$213,K2,'Sales Log'!$Q$14:$Q$213)</f>
        <v>#DIV/0!</v>
      </c>
    </row>
    <row r="12" spans="1:11" ht="22.5" customHeight="1">
      <c r="A12" s="5" t="s">
        <v>134</v>
      </c>
      <c r="B12" s="8">
        <f>'Sales Log'!$R$214</f>
        <v>3491.2857142857142</v>
      </c>
      <c r="C12" s="8">
        <f>AVERAGEIF('Sales Log'!$G$14:$G$213,C2,'Sales Log'!$R$14:$R$213)</f>
        <v>3477.0571428571429</v>
      </c>
      <c r="D12" s="8">
        <f>AVERAGEIF('Sales Log'!$G$14:$G$213,D2,'Sales Log'!$R$14:$R$213)</f>
        <v>3562.5</v>
      </c>
      <c r="E12" s="8">
        <f>AVERAGEIF('Sales Log'!$G$14:$G$213,E2,'Sales Log'!$R$14:$R$213)</f>
        <v>4348.727272727273</v>
      </c>
      <c r="F12" s="8">
        <f>AVERAGEIF('Sales Log'!$G$14:$G$213,F2,'Sales Log'!$R$14:$R$213)</f>
        <v>2650.6</v>
      </c>
      <c r="G12" s="8" t="e">
        <f>AVERAGEIF('Sales Log'!$G$14:$G$213,G2,'Sales Log'!$R$14:$R$213)</f>
        <v>#DIV/0!</v>
      </c>
      <c r="H12" s="8">
        <f>AVERAGEIF('Sales Log'!$G$14:$G$213,H2,'Sales Log'!$R$14:$R$213)</f>
        <v>4827</v>
      </c>
      <c r="I12" s="8" t="e">
        <f>AVERAGEIF('Sales Log'!$G$14:$G$213,I2,'Sales Log'!$R$14:$R$213)</f>
        <v>#DIV/0!</v>
      </c>
      <c r="J12" s="8">
        <f>AVERAGEIF('Sales Log'!$G$14:$G$213,J2,'Sales Log'!$R$14:$R$213)</f>
        <v>1850</v>
      </c>
      <c r="K12" s="8" t="e">
        <f>AVERAGEIF('Sales Log'!$G$14:$G$213,K2,'Sales Log'!$R$14:$R$213)</f>
        <v>#DIV/0!</v>
      </c>
    </row>
    <row r="13" spans="1:11" ht="21.75" customHeight="1">
      <c r="A13" s="5" t="s">
        <v>135</v>
      </c>
      <c r="B13" s="10">
        <f>B12*B3</f>
        <v>366585</v>
      </c>
      <c r="C13" s="10">
        <f>C12*C3</f>
        <v>243394</v>
      </c>
      <c r="D13" s="10">
        <f t="shared" ref="D13:K13" si="0">D12*D3</f>
        <v>49875</v>
      </c>
      <c r="E13" s="10">
        <f t="shared" si="0"/>
        <v>47836</v>
      </c>
      <c r="F13" s="10">
        <f t="shared" si="0"/>
        <v>13253</v>
      </c>
      <c r="G13" s="10" t="e">
        <f t="shared" si="0"/>
        <v>#DIV/0!</v>
      </c>
      <c r="H13" s="10">
        <f t="shared" si="0"/>
        <v>4827</v>
      </c>
      <c r="I13" s="10" t="e">
        <f t="shared" si="0"/>
        <v>#DIV/0!</v>
      </c>
      <c r="J13" s="10">
        <f t="shared" ref="J13" si="1">J12*J3</f>
        <v>7400</v>
      </c>
      <c r="K13" s="10" t="e">
        <f t="shared" si="0"/>
        <v>#DIV/0!</v>
      </c>
    </row>
    <row r="14" spans="1:11" ht="21.75" customHeight="1">
      <c r="A14" s="5" t="s">
        <v>89</v>
      </c>
      <c r="B14" s="9">
        <f>(B12/(B7)*(360/B6))</f>
        <v>1.5108567247816356</v>
      </c>
      <c r="C14" s="9">
        <f ca="1">(C12/(C7)*(360/C6))</f>
        <v>1.5339448118413905</v>
      </c>
      <c r="D14" s="9">
        <f t="shared" ref="D14:K14" ca="1" si="2">(D12/(D7)*(360/D6))</f>
        <v>1.5909698583776062</v>
      </c>
      <c r="E14" s="9">
        <f t="shared" ca="1" si="2"/>
        <v>2.2094418222085164</v>
      </c>
      <c r="F14" s="9">
        <f t="shared" ca="1" si="2"/>
        <v>0.93049278859702644</v>
      </c>
      <c r="G14" s="9" t="e">
        <f t="shared" ca="1" si="2"/>
        <v>#DIV/0!</v>
      </c>
      <c r="H14" s="9">
        <f t="shared" ca="1" si="2"/>
        <v>1.1484562736436383</v>
      </c>
      <c r="I14" s="9" t="e">
        <f t="shared" ca="1" si="2"/>
        <v>#DIV/0!</v>
      </c>
      <c r="J14" s="9">
        <f t="shared" ref="J14" ca="1" si="3">(J12/(J7)*(360/J6))</f>
        <v>0.59852391062582144</v>
      </c>
      <c r="K14" s="9" t="e">
        <f t="shared" ca="1" si="2"/>
        <v>#DIV/0!</v>
      </c>
    </row>
    <row r="15" spans="1:11" ht="21.75" customHeight="1">
      <c r="A15" s="5" t="s">
        <v>136</v>
      </c>
      <c r="B15" s="9">
        <f>'Sales Log'!AA214/'Scoreboard Total'!B3</f>
        <v>0.34285714285714286</v>
      </c>
      <c r="C15" s="9">
        <f>COUNTIFS('Sales Log'!$G$14:$G$213,C2,'Sales Log'!$AA$14:$AA$213,"Yes")/C$3</f>
        <v>0.41428571428571431</v>
      </c>
      <c r="D15" s="9">
        <f>COUNTIFS('Sales Log'!$G$14:$G$213,D2,'Sales Log'!$AA$14:$AA$213,"Yes")/D$3</f>
        <v>0.14285714285714285</v>
      </c>
      <c r="E15" s="9">
        <f>COUNTIFS('Sales Log'!$G$14:$G$213,E2,'Sales Log'!$AA$14:$AA$213,"Yes")/E$3</f>
        <v>0.27272727272727271</v>
      </c>
      <c r="F15" s="9">
        <f>COUNTIFS('Sales Log'!$G$14:$G$213,F2,'Sales Log'!$AA$14:$AA$213,"Yes")/F$3</f>
        <v>0.4</v>
      </c>
      <c r="G15" s="9" t="e">
        <f>COUNTIFS('Sales Log'!$G$14:$G$213,G2,'Sales Log'!$AA$14:$AA$213,"Yes")/G$3</f>
        <v>#DIV/0!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>
        <f>COUNTIFS('Sales Log'!$G$14:$G$213,J2,'Sales Log'!$AA$14:$AA$213,"Yes")/J$3</f>
        <v>0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137</v>
      </c>
      <c r="B16" s="114">
        <f>'Sales Log'!$AB$214</f>
        <v>86.416666666666671</v>
      </c>
      <c r="C16" s="114">
        <f>AVERAGEIF('Sales Log'!$G$14:$G$213,C2,'Sales Log'!$AB$14:$AB$213)</f>
        <v>103.82758620689656</v>
      </c>
      <c r="D16" s="114">
        <f>AVERAGEIF('Sales Log'!$G$14:$G$213,D2,'Sales Log'!$AB$14:$AB$213)</f>
        <v>0</v>
      </c>
      <c r="E16" s="114">
        <f>AVERAGEIF('Sales Log'!$G$14:$G$213,E2,'Sales Log'!$AB$14:$AB$213)</f>
        <v>33.333333333333336</v>
      </c>
      <c r="F16" s="114">
        <f>AVERAGEIF('Sales Log'!$G$14:$G$213,F2,'Sales Log'!$AB$14:$AB$213)</f>
        <v>0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tbens</cp:lastModifiedBy>
  <cp:revision/>
  <dcterms:created xsi:type="dcterms:W3CDTF">2015-12-28T19:26:50Z</dcterms:created>
  <dcterms:modified xsi:type="dcterms:W3CDTF">2023-10-26T21:09:41Z</dcterms:modified>
  <cp:category/>
  <cp:contentStatus/>
</cp:coreProperties>
</file>