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s1\Desktop\"/>
    </mc:Choice>
  </mc:AlternateContent>
  <xr:revisionPtr revIDLastSave="0" documentId="13_ncr:1_{87832F3B-6501-4A86-9595-A491F2FF98E8}" xr6:coauthVersionLast="47" xr6:coauthVersionMax="47" xr10:uidLastSave="{00000000-0000-0000-0000-000000000000}"/>
  <bookViews>
    <workbookView xWindow="-108" yWindow="-108" windowWidth="23256" windowHeight="13176" tabRatio="913" firstSheet="1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8" i="13"/>
  <c r="J9" i="13"/>
  <c r="J10" i="13"/>
  <c r="J11" i="13"/>
  <c r="J12" i="13"/>
  <c r="J16" i="13"/>
  <c r="R14" i="1"/>
  <c r="S14" i="1"/>
  <c r="R15" i="1"/>
  <c r="S15" i="1"/>
  <c r="M14" i="1"/>
  <c r="N14" i="1"/>
  <c r="O14" i="1"/>
  <c r="M15" i="1"/>
  <c r="N15" i="1"/>
  <c r="O15" i="1"/>
  <c r="I14" i="1"/>
  <c r="I15" i="1"/>
  <c r="J13" i="13"/>
  <c r="J15" i="13"/>
  <c r="J14" i="13"/>
  <c r="W14" i="1"/>
  <c r="W15" i="1"/>
  <c r="D16" i="13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/>
  <c r="AA214" i="1"/>
  <c r="B17" i="5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/>
  <c r="C17" i="12"/>
  <c r="D17" i="12"/>
  <c r="M16" i="1"/>
  <c r="N16" i="1"/>
  <c r="M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M33" i="1"/>
  <c r="M34" i="1"/>
  <c r="N34" i="1"/>
  <c r="M35" i="1"/>
  <c r="N35" i="1"/>
  <c r="M36" i="1"/>
  <c r="N36" i="1"/>
  <c r="M37" i="1"/>
  <c r="M38" i="1"/>
  <c r="N38" i="1"/>
  <c r="M39" i="1"/>
  <c r="M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M53" i="1"/>
  <c r="N53" i="1"/>
  <c r="M54" i="1"/>
  <c r="N54" i="1"/>
  <c r="M55" i="1"/>
  <c r="N55" i="1"/>
  <c r="M56" i="1"/>
  <c r="N56" i="1"/>
  <c r="M57" i="1"/>
  <c r="N57" i="1"/>
  <c r="M58" i="1"/>
  <c r="N58" i="1"/>
  <c r="M59" i="1"/>
  <c r="N59" i="1"/>
  <c r="M60" i="1"/>
  <c r="N60" i="1"/>
  <c r="M61" i="1"/>
  <c r="N61" i="1"/>
  <c r="M62" i="1"/>
  <c r="N62" i="1"/>
  <c r="M63" i="1"/>
  <c r="N63" i="1"/>
  <c r="M64" i="1"/>
  <c r="N64" i="1"/>
  <c r="M65" i="1"/>
  <c r="M66" i="1"/>
  <c r="N66" i="1"/>
  <c r="M67" i="1"/>
  <c r="N67" i="1"/>
  <c r="M68" i="1"/>
  <c r="N68" i="1"/>
  <c r="M69" i="1"/>
  <c r="N69" i="1"/>
  <c r="M70" i="1"/>
  <c r="N70" i="1"/>
  <c r="M71" i="1"/>
  <c r="N71" i="1"/>
  <c r="M72" i="1"/>
  <c r="N72" i="1"/>
  <c r="M73" i="1"/>
  <c r="N73" i="1"/>
  <c r="M74" i="1"/>
  <c r="N74" i="1"/>
  <c r="M75" i="1"/>
  <c r="N75" i="1"/>
  <c r="M76" i="1"/>
  <c r="N76" i="1"/>
  <c r="M77" i="1"/>
  <c r="N77" i="1"/>
  <c r="M78" i="1"/>
  <c r="N78" i="1"/>
  <c r="M79" i="1"/>
  <c r="N79" i="1"/>
  <c r="M80" i="1"/>
  <c r="N80" i="1"/>
  <c r="M81" i="1"/>
  <c r="N81" i="1"/>
  <c r="M82" i="1"/>
  <c r="N82" i="1"/>
  <c r="M83" i="1"/>
  <c r="M84" i="1"/>
  <c r="N84" i="1"/>
  <c r="M85" i="1"/>
  <c r="M86" i="1"/>
  <c r="N86" i="1"/>
  <c r="M87" i="1"/>
  <c r="N87" i="1"/>
  <c r="M88" i="1"/>
  <c r="M89" i="1"/>
  <c r="N89" i="1"/>
  <c r="M90" i="1"/>
  <c r="N90" i="1"/>
  <c r="M91" i="1"/>
  <c r="N91" i="1"/>
  <c r="M92" i="1"/>
  <c r="N92" i="1"/>
  <c r="M93" i="1"/>
  <c r="N93" i="1"/>
  <c r="M94" i="1"/>
  <c r="N94" i="1"/>
  <c r="M95" i="1"/>
  <c r="N95" i="1"/>
  <c r="M96" i="1"/>
  <c r="M97" i="1"/>
  <c r="N97" i="1"/>
  <c r="M98" i="1"/>
  <c r="N98" i="1"/>
  <c r="M99" i="1"/>
  <c r="N99" i="1"/>
  <c r="M100" i="1"/>
  <c r="N100" i="1"/>
  <c r="M101" i="1"/>
  <c r="N101" i="1"/>
  <c r="M102" i="1"/>
  <c r="N102" i="1"/>
  <c r="M103" i="1"/>
  <c r="N103" i="1"/>
  <c r="M104" i="1"/>
  <c r="M105" i="1"/>
  <c r="N105" i="1"/>
  <c r="M106" i="1"/>
  <c r="N106" i="1"/>
  <c r="M107" i="1"/>
  <c r="N107" i="1"/>
  <c r="M108" i="1"/>
  <c r="N108" i="1"/>
  <c r="M109" i="1"/>
  <c r="M110" i="1"/>
  <c r="N110" i="1"/>
  <c r="M111" i="1"/>
  <c r="N111" i="1"/>
  <c r="M112" i="1"/>
  <c r="N112" i="1"/>
  <c r="M113" i="1"/>
  <c r="M114" i="1"/>
  <c r="N114" i="1"/>
  <c r="M115" i="1"/>
  <c r="N115" i="1"/>
  <c r="M116" i="1"/>
  <c r="N116" i="1"/>
  <c r="M117" i="1"/>
  <c r="N117" i="1"/>
  <c r="M118" i="1"/>
  <c r="N118" i="1"/>
  <c r="M119" i="1"/>
  <c r="N119" i="1"/>
  <c r="M120" i="1"/>
  <c r="N120" i="1"/>
  <c r="M121" i="1"/>
  <c r="N121" i="1"/>
  <c r="M122" i="1"/>
  <c r="N122" i="1"/>
  <c r="M123" i="1"/>
  <c r="N123" i="1"/>
  <c r="M124" i="1"/>
  <c r="N124" i="1"/>
  <c r="M125" i="1"/>
  <c r="N125" i="1"/>
  <c r="M126" i="1"/>
  <c r="N126" i="1"/>
  <c r="M127" i="1"/>
  <c r="N127" i="1"/>
  <c r="M128" i="1"/>
  <c r="N128" i="1"/>
  <c r="M129" i="1"/>
  <c r="M130" i="1"/>
  <c r="N130" i="1"/>
  <c r="M131" i="1"/>
  <c r="N131" i="1"/>
  <c r="M132" i="1"/>
  <c r="N132" i="1"/>
  <c r="M133" i="1"/>
  <c r="N133" i="1"/>
  <c r="M134" i="1"/>
  <c r="N134" i="1"/>
  <c r="M135" i="1"/>
  <c r="N135" i="1"/>
  <c r="M136" i="1"/>
  <c r="N136" i="1"/>
  <c r="M137" i="1"/>
  <c r="N137" i="1"/>
  <c r="M138" i="1"/>
  <c r="N138" i="1"/>
  <c r="M139" i="1"/>
  <c r="N139" i="1"/>
  <c r="M140" i="1"/>
  <c r="M141" i="1"/>
  <c r="M142" i="1"/>
  <c r="N142" i="1"/>
  <c r="M143" i="1"/>
  <c r="N143" i="1"/>
  <c r="M144" i="1"/>
  <c r="N144" i="1"/>
  <c r="M145" i="1"/>
  <c r="N145" i="1"/>
  <c r="M146" i="1"/>
  <c r="N146" i="1"/>
  <c r="M147" i="1"/>
  <c r="N147" i="1"/>
  <c r="M148" i="1"/>
  <c r="N148" i="1"/>
  <c r="M149" i="1"/>
  <c r="N149" i="1"/>
  <c r="M150" i="1"/>
  <c r="N150" i="1"/>
  <c r="M151" i="1"/>
  <c r="N151" i="1"/>
  <c r="M152" i="1"/>
  <c r="N152" i="1"/>
  <c r="M153" i="1"/>
  <c r="N153" i="1"/>
  <c r="M154" i="1"/>
  <c r="N154" i="1"/>
  <c r="M155" i="1"/>
  <c r="N155" i="1"/>
  <c r="M156" i="1"/>
  <c r="N156" i="1"/>
  <c r="M157" i="1"/>
  <c r="N157" i="1"/>
  <c r="M158" i="1"/>
  <c r="N158" i="1"/>
  <c r="M159" i="1"/>
  <c r="N159" i="1"/>
  <c r="M160" i="1"/>
  <c r="M161" i="1"/>
  <c r="N161" i="1"/>
  <c r="M162" i="1"/>
  <c r="N162" i="1"/>
  <c r="M163" i="1"/>
  <c r="N163" i="1"/>
  <c r="M164" i="1"/>
  <c r="N164" i="1"/>
  <c r="M165" i="1"/>
  <c r="N165" i="1"/>
  <c r="M166" i="1"/>
  <c r="N166" i="1"/>
  <c r="M167" i="1"/>
  <c r="N167" i="1"/>
  <c r="M168" i="1"/>
  <c r="M169" i="1"/>
  <c r="N169" i="1"/>
  <c r="M170" i="1"/>
  <c r="N170" i="1"/>
  <c r="M171" i="1"/>
  <c r="N171" i="1"/>
  <c r="M172" i="1"/>
  <c r="N172" i="1"/>
  <c r="M173" i="1"/>
  <c r="N173" i="1"/>
  <c r="M174" i="1"/>
  <c r="N174" i="1"/>
  <c r="M175" i="1"/>
  <c r="N175" i="1"/>
  <c r="M176" i="1"/>
  <c r="N176" i="1"/>
  <c r="M177" i="1"/>
  <c r="M178" i="1"/>
  <c r="N178" i="1"/>
  <c r="M179" i="1"/>
  <c r="N179" i="1"/>
  <c r="M180" i="1"/>
  <c r="N180" i="1"/>
  <c r="M181" i="1"/>
  <c r="N181" i="1"/>
  <c r="M182" i="1"/>
  <c r="N182" i="1"/>
  <c r="M183" i="1"/>
  <c r="N183" i="1"/>
  <c r="M184" i="1"/>
  <c r="N184" i="1"/>
  <c r="M185" i="1"/>
  <c r="N185" i="1"/>
  <c r="M186" i="1"/>
  <c r="N186" i="1"/>
  <c r="M187" i="1"/>
  <c r="N187" i="1"/>
  <c r="M188" i="1"/>
  <c r="N188" i="1"/>
  <c r="M189" i="1"/>
  <c r="N189" i="1"/>
  <c r="M190" i="1"/>
  <c r="N190" i="1"/>
  <c r="M191" i="1"/>
  <c r="N191" i="1"/>
  <c r="M192" i="1"/>
  <c r="N192" i="1"/>
  <c r="M193" i="1"/>
  <c r="M194" i="1"/>
  <c r="N194" i="1"/>
  <c r="M195" i="1"/>
  <c r="N195" i="1"/>
  <c r="M196" i="1"/>
  <c r="N196" i="1"/>
  <c r="M197" i="1"/>
  <c r="N197" i="1"/>
  <c r="M198" i="1"/>
  <c r="N198" i="1"/>
  <c r="M199" i="1"/>
  <c r="N199" i="1"/>
  <c r="M200" i="1"/>
  <c r="N200" i="1"/>
  <c r="M201" i="1"/>
  <c r="N201" i="1"/>
  <c r="M202" i="1"/>
  <c r="N202" i="1"/>
  <c r="M203" i="1"/>
  <c r="N203" i="1"/>
  <c r="M204" i="1"/>
  <c r="N204" i="1"/>
  <c r="M205" i="1"/>
  <c r="N205" i="1"/>
  <c r="M206" i="1"/>
  <c r="N206" i="1"/>
  <c r="M207" i="1"/>
  <c r="N207" i="1"/>
  <c r="M208" i="1"/>
  <c r="N208" i="1"/>
  <c r="M209" i="1"/>
  <c r="M210" i="1"/>
  <c r="N210" i="1"/>
  <c r="M211" i="1"/>
  <c r="N211" i="1"/>
  <c r="M212" i="1"/>
  <c r="N212" i="1"/>
  <c r="M213" i="1"/>
  <c r="N213" i="1"/>
  <c r="N17" i="1"/>
  <c r="N24" i="1"/>
  <c r="N32" i="1"/>
  <c r="N33" i="1"/>
  <c r="N37" i="1"/>
  <c r="N39" i="1"/>
  <c r="N40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/>
  <c r="R17" i="1"/>
  <c r="S17" i="1"/>
  <c r="R18" i="1"/>
  <c r="S18" i="1"/>
  <c r="R19" i="1"/>
  <c r="S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56" i="1"/>
  <c r="S56" i="1"/>
  <c r="R57" i="1"/>
  <c r="S57" i="1"/>
  <c r="R58" i="1"/>
  <c r="S58" i="1"/>
  <c r="R59" i="1"/>
  <c r="S59" i="1"/>
  <c r="R60" i="1"/>
  <c r="S60" i="1"/>
  <c r="R61" i="1"/>
  <c r="S61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R112" i="1"/>
  <c r="S112" i="1"/>
  <c r="R113" i="1"/>
  <c r="S113" i="1"/>
  <c r="R114" i="1"/>
  <c r="S114" i="1"/>
  <c r="R115" i="1"/>
  <c r="S115" i="1"/>
  <c r="R116" i="1"/>
  <c r="S116" i="1"/>
  <c r="R117" i="1"/>
  <c r="S117" i="1"/>
  <c r="R118" i="1"/>
  <c r="S118" i="1"/>
  <c r="R119" i="1"/>
  <c r="S119" i="1"/>
  <c r="R120" i="1"/>
  <c r="S120" i="1"/>
  <c r="R121" i="1"/>
  <c r="S121" i="1"/>
  <c r="R122" i="1"/>
  <c r="S122" i="1"/>
  <c r="R123" i="1"/>
  <c r="S123" i="1"/>
  <c r="R124" i="1"/>
  <c r="S124" i="1"/>
  <c r="R125" i="1"/>
  <c r="S125" i="1"/>
  <c r="R126" i="1"/>
  <c r="S126" i="1"/>
  <c r="R127" i="1"/>
  <c r="S127" i="1"/>
  <c r="R128" i="1"/>
  <c r="S128" i="1"/>
  <c r="R129" i="1"/>
  <c r="S129" i="1"/>
  <c r="R130" i="1"/>
  <c r="S130" i="1"/>
  <c r="R131" i="1"/>
  <c r="S131" i="1"/>
  <c r="R132" i="1"/>
  <c r="S132" i="1"/>
  <c r="R133" i="1"/>
  <c r="S133" i="1"/>
  <c r="R134" i="1"/>
  <c r="S134" i="1"/>
  <c r="R135" i="1"/>
  <c r="S135" i="1"/>
  <c r="R136" i="1"/>
  <c r="S136" i="1"/>
  <c r="R137" i="1"/>
  <c r="S137" i="1"/>
  <c r="R138" i="1"/>
  <c r="S138" i="1"/>
  <c r="R139" i="1"/>
  <c r="S139" i="1"/>
  <c r="R140" i="1"/>
  <c r="S140" i="1"/>
  <c r="R141" i="1"/>
  <c r="S141" i="1"/>
  <c r="R142" i="1"/>
  <c r="S142" i="1"/>
  <c r="R143" i="1"/>
  <c r="S143" i="1"/>
  <c r="R144" i="1"/>
  <c r="S144" i="1"/>
  <c r="R145" i="1"/>
  <c r="S145" i="1"/>
  <c r="R146" i="1"/>
  <c r="S146" i="1"/>
  <c r="R147" i="1"/>
  <c r="S147" i="1"/>
  <c r="R148" i="1"/>
  <c r="S148" i="1"/>
  <c r="R149" i="1"/>
  <c r="S149" i="1"/>
  <c r="R150" i="1"/>
  <c r="S150" i="1"/>
  <c r="R151" i="1"/>
  <c r="S151" i="1"/>
  <c r="R152" i="1"/>
  <c r="S152" i="1"/>
  <c r="R153" i="1"/>
  <c r="S153" i="1"/>
  <c r="R154" i="1"/>
  <c r="S154" i="1"/>
  <c r="R155" i="1"/>
  <c r="S155" i="1"/>
  <c r="R156" i="1"/>
  <c r="S156" i="1"/>
  <c r="R157" i="1"/>
  <c r="S157" i="1"/>
  <c r="R158" i="1"/>
  <c r="S158" i="1"/>
  <c r="R159" i="1"/>
  <c r="S159" i="1"/>
  <c r="R160" i="1"/>
  <c r="S160" i="1"/>
  <c r="R161" i="1"/>
  <c r="S161" i="1"/>
  <c r="R162" i="1"/>
  <c r="S162" i="1"/>
  <c r="R163" i="1"/>
  <c r="S163" i="1"/>
  <c r="R164" i="1"/>
  <c r="S164" i="1"/>
  <c r="R165" i="1"/>
  <c r="S165" i="1"/>
  <c r="R166" i="1"/>
  <c r="S166" i="1"/>
  <c r="R167" i="1"/>
  <c r="S167" i="1"/>
  <c r="R168" i="1"/>
  <c r="S168" i="1"/>
  <c r="R169" i="1"/>
  <c r="S169" i="1"/>
  <c r="R170" i="1"/>
  <c r="S170" i="1"/>
  <c r="R171" i="1"/>
  <c r="S171" i="1"/>
  <c r="R172" i="1"/>
  <c r="S172" i="1"/>
  <c r="R173" i="1"/>
  <c r="S173" i="1"/>
  <c r="R174" i="1"/>
  <c r="S174" i="1"/>
  <c r="R175" i="1"/>
  <c r="S175" i="1"/>
  <c r="R176" i="1"/>
  <c r="S176" i="1"/>
  <c r="R177" i="1"/>
  <c r="S177" i="1"/>
  <c r="R178" i="1"/>
  <c r="S178" i="1"/>
  <c r="R179" i="1"/>
  <c r="S179" i="1"/>
  <c r="R180" i="1"/>
  <c r="S180" i="1"/>
  <c r="R181" i="1"/>
  <c r="S181" i="1"/>
  <c r="R182" i="1"/>
  <c r="S182" i="1"/>
  <c r="R183" i="1"/>
  <c r="S183" i="1"/>
  <c r="R184" i="1"/>
  <c r="S184" i="1"/>
  <c r="R185" i="1"/>
  <c r="S185" i="1"/>
  <c r="R186" i="1"/>
  <c r="S186" i="1"/>
  <c r="R187" i="1"/>
  <c r="S187" i="1"/>
  <c r="R188" i="1"/>
  <c r="S188" i="1"/>
  <c r="R189" i="1"/>
  <c r="S189" i="1"/>
  <c r="R190" i="1"/>
  <c r="S190" i="1"/>
  <c r="R191" i="1"/>
  <c r="S191" i="1"/>
  <c r="R192" i="1"/>
  <c r="S192" i="1"/>
  <c r="R193" i="1"/>
  <c r="S193" i="1"/>
  <c r="R194" i="1"/>
  <c r="S194" i="1"/>
  <c r="R195" i="1"/>
  <c r="S195" i="1"/>
  <c r="R196" i="1"/>
  <c r="S196" i="1"/>
  <c r="R197" i="1"/>
  <c r="S197" i="1"/>
  <c r="R198" i="1"/>
  <c r="S198" i="1"/>
  <c r="R199" i="1"/>
  <c r="S199" i="1"/>
  <c r="R200" i="1"/>
  <c r="S200" i="1"/>
  <c r="R201" i="1"/>
  <c r="S201" i="1"/>
  <c r="R202" i="1"/>
  <c r="S202" i="1"/>
  <c r="R203" i="1"/>
  <c r="S203" i="1"/>
  <c r="R204" i="1"/>
  <c r="S204" i="1"/>
  <c r="R205" i="1"/>
  <c r="S205" i="1"/>
  <c r="R206" i="1"/>
  <c r="S206" i="1"/>
  <c r="R207" i="1"/>
  <c r="S207" i="1"/>
  <c r="R208" i="1"/>
  <c r="S208" i="1"/>
  <c r="R209" i="1"/>
  <c r="S209" i="1"/>
  <c r="R210" i="1"/>
  <c r="S210" i="1"/>
  <c r="R211" i="1"/>
  <c r="S211" i="1"/>
  <c r="R212" i="1"/>
  <c r="S212" i="1"/>
  <c r="R213" i="1"/>
  <c r="S213" i="1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/>
  <c r="G3" i="13"/>
  <c r="G15" i="13"/>
  <c r="H3" i="13"/>
  <c r="H15" i="13"/>
  <c r="I3" i="13"/>
  <c r="I15" i="13"/>
  <c r="K3" i="13"/>
  <c r="K15" i="13"/>
  <c r="D3" i="13"/>
  <c r="D15" i="13"/>
  <c r="E3" i="13"/>
  <c r="E15" i="13"/>
  <c r="C3" i="13"/>
  <c r="C15" i="13"/>
  <c r="C3" i="11"/>
  <c r="C16" i="11"/>
  <c r="D3" i="11"/>
  <c r="D16" i="11"/>
  <c r="C4" i="10"/>
  <c r="C17" i="10"/>
  <c r="D4" i="10"/>
  <c r="D17" i="10"/>
  <c r="E4" i="10"/>
  <c r="E17" i="10"/>
  <c r="F4" i="10"/>
  <c r="F17" i="10"/>
  <c r="G4" i="10"/>
  <c r="G17" i="10"/>
  <c r="H4" i="10"/>
  <c r="H17" i="10"/>
  <c r="I4" i="10"/>
  <c r="I17" i="10"/>
  <c r="J4" i="10"/>
  <c r="J17" i="10"/>
  <c r="K4" i="10"/>
  <c r="K17" i="10"/>
  <c r="L4" i="10"/>
  <c r="L17" i="10"/>
  <c r="D4" i="9"/>
  <c r="D17" i="9"/>
  <c r="E4" i="9"/>
  <c r="E17" i="9"/>
  <c r="F4" i="9"/>
  <c r="F17" i="9"/>
  <c r="G4" i="9"/>
  <c r="G17" i="9"/>
  <c r="H4" i="9"/>
  <c r="H17" i="9"/>
  <c r="I4" i="9"/>
  <c r="I17" i="9"/>
  <c r="J4" i="9"/>
  <c r="J17" i="9"/>
  <c r="K4" i="9"/>
  <c r="K17" i="9"/>
  <c r="L4" i="9"/>
  <c r="L17" i="9"/>
  <c r="M4" i="9"/>
  <c r="M17" i="9"/>
  <c r="N4" i="9"/>
  <c r="N17" i="9"/>
  <c r="O4" i="9"/>
  <c r="O17" i="9"/>
  <c r="P4" i="9"/>
  <c r="P17" i="9"/>
  <c r="Q4" i="9"/>
  <c r="Q17" i="9"/>
  <c r="R4" i="9"/>
  <c r="R17" i="9"/>
  <c r="S4" i="9"/>
  <c r="S17" i="9"/>
  <c r="T4" i="9"/>
  <c r="T17" i="9"/>
  <c r="U4" i="9"/>
  <c r="U17" i="9"/>
  <c r="V4" i="9"/>
  <c r="V17" i="9"/>
  <c r="W4" i="9"/>
  <c r="W17" i="9"/>
  <c r="X4" i="9"/>
  <c r="X17" i="9"/>
  <c r="Y4" i="9"/>
  <c r="Y17" i="9"/>
  <c r="Z4" i="9"/>
  <c r="Z17" i="9"/>
  <c r="AA4" i="9"/>
  <c r="AA17" i="9"/>
  <c r="AB4" i="9"/>
  <c r="AB17" i="9"/>
  <c r="AC4" i="9"/>
  <c r="AC17" i="9"/>
  <c r="AD4" i="9"/>
  <c r="AD17" i="9"/>
  <c r="AE4" i="9"/>
  <c r="AE17" i="9"/>
  <c r="AF4" i="9"/>
  <c r="AF17" i="9"/>
  <c r="AG4" i="9"/>
  <c r="AG17" i="9"/>
  <c r="AH4" i="9"/>
  <c r="AH17" i="9"/>
  <c r="AI4" i="9"/>
  <c r="AI17" i="9"/>
  <c r="AJ4" i="9"/>
  <c r="AJ17" i="9"/>
  <c r="AK4" i="9"/>
  <c r="AK17" i="9"/>
  <c r="AL4" i="9"/>
  <c r="AL17" i="9"/>
  <c r="AM4" i="9"/>
  <c r="AM17" i="9"/>
  <c r="AN4" i="9"/>
  <c r="AN17" i="9"/>
  <c r="AO4" i="9"/>
  <c r="AO17" i="9"/>
  <c r="AP4" i="9"/>
  <c r="AP17" i="9"/>
  <c r="AQ4" i="9"/>
  <c r="AQ17" i="9"/>
  <c r="AR4" i="9"/>
  <c r="AR17" i="9"/>
  <c r="AS4" i="9"/>
  <c r="AS17" i="9"/>
  <c r="AT4" i="9"/>
  <c r="AT17" i="9"/>
  <c r="AU4" i="9"/>
  <c r="AU17" i="9"/>
  <c r="AV4" i="9"/>
  <c r="AV17" i="9"/>
  <c r="AW4" i="9"/>
  <c r="AW17" i="9"/>
  <c r="AX4" i="9"/>
  <c r="AX17" i="9"/>
  <c r="AY4" i="9"/>
  <c r="AY17" i="9"/>
  <c r="AZ4" i="9"/>
  <c r="AZ17" i="9"/>
  <c r="BA4" i="9"/>
  <c r="BA17" i="9"/>
  <c r="BB4" i="9"/>
  <c r="BB17" i="9"/>
  <c r="BC4" i="9"/>
  <c r="BC17" i="9"/>
  <c r="BD4" i="9"/>
  <c r="BD17" i="9"/>
  <c r="BE4" i="9"/>
  <c r="BE17" i="9"/>
  <c r="BF4" i="9"/>
  <c r="BF17" i="9"/>
  <c r="BG4" i="9"/>
  <c r="BG17" i="9"/>
  <c r="BH4" i="9"/>
  <c r="BH17" i="9"/>
  <c r="BI4" i="9"/>
  <c r="BI17" i="9"/>
  <c r="BJ4" i="9"/>
  <c r="BJ17" i="9"/>
  <c r="BK4" i="9"/>
  <c r="BK17" i="9"/>
  <c r="C4" i="9"/>
  <c r="C17" i="9"/>
  <c r="E4" i="6"/>
  <c r="E17" i="6"/>
  <c r="F4" i="6"/>
  <c r="F17" i="6"/>
  <c r="G4" i="6"/>
  <c r="G17" i="6"/>
  <c r="H4" i="6"/>
  <c r="H17" i="6"/>
  <c r="I4" i="6"/>
  <c r="I17" i="6"/>
  <c r="J4" i="6"/>
  <c r="J17" i="6"/>
  <c r="K4" i="6"/>
  <c r="K17" i="6"/>
  <c r="L4" i="6"/>
  <c r="L17" i="6"/>
  <c r="M4" i="6"/>
  <c r="M17" i="6"/>
  <c r="D4" i="6"/>
  <c r="D17" i="6"/>
  <c r="C4" i="6"/>
  <c r="C17" i="6"/>
  <c r="D214" i="1"/>
  <c r="B3" i="5"/>
  <c r="B16" i="5"/>
  <c r="J4" i="13"/>
  <c r="B16" i="12"/>
  <c r="B3" i="14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B4" i="9"/>
  <c r="H14" i="13"/>
  <c r="K13" i="13"/>
  <c r="F13" i="13"/>
  <c r="E4" i="13"/>
  <c r="H4" i="13"/>
  <c r="G14" i="13"/>
  <c r="D14" i="13"/>
  <c r="D4" i="13"/>
  <c r="G4" i="13"/>
  <c r="K4" i="13"/>
  <c r="C14" i="13"/>
  <c r="B17" i="10"/>
  <c r="B4" i="10"/>
  <c r="B16" i="11"/>
  <c r="B17" i="6"/>
  <c r="B17" i="9"/>
  <c r="B15" i="13"/>
  <c r="B15" i="14"/>
  <c r="B5" i="14"/>
  <c r="B4" i="14"/>
  <c r="L214" i="1"/>
  <c r="B8" i="11"/>
  <c r="M13" i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Q10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/>
  <c r="B8" i="9"/>
  <c r="K214" i="1"/>
  <c r="B7" i="10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Q214" i="1"/>
  <c r="B13" i="10"/>
  <c r="P214" i="1"/>
  <c r="B12" i="9"/>
  <c r="B5" i="12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B6" i="10"/>
  <c r="B6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/>
  <c r="H5" i="13"/>
  <c r="C3" i="12"/>
  <c r="C16" i="12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/>
  <c r="N15" i="9"/>
  <c r="B11" i="11"/>
  <c r="D13" i="11"/>
  <c r="D15" i="11"/>
  <c r="D8" i="11"/>
  <c r="D9" i="11"/>
  <c r="R214" i="1"/>
  <c r="B12" i="14"/>
  <c r="B13" i="14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/>
  <c r="G14" i="14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/>
  <c r="C12" i="14"/>
  <c r="C14" i="14"/>
  <c r="D12" i="14"/>
  <c r="D14" i="14"/>
  <c r="F12" i="14"/>
  <c r="F14" i="14"/>
  <c r="B14" i="14"/>
  <c r="B14" i="6"/>
  <c r="B16" i="6"/>
  <c r="B8" i="13"/>
  <c r="B8" i="14"/>
  <c r="B13" i="11"/>
  <c r="B14" i="1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/>
  <c r="B12" i="13"/>
  <c r="B14" i="13"/>
  <c r="D15" i="12"/>
  <c r="C15" i="12"/>
  <c r="AM15" i="9"/>
  <c r="BJ3" i="9"/>
  <c r="BH15" i="9"/>
  <c r="L15" i="6"/>
  <c r="B2" i="5"/>
  <c r="B3" i="13"/>
  <c r="B4" i="13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family val="2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<sst xmlns="http://schemas.openxmlformats.org/spreadsheetml/2006/main" count="458" uniqueCount="164">
  <si>
    <t>Desk Manager(s)</t>
  </si>
  <si>
    <t>Finance Manager(s)</t>
  </si>
  <si>
    <t>Sales Consultant(s)</t>
  </si>
  <si>
    <t>New Car Franchise(s)</t>
  </si>
  <si>
    <t>Control (brand)</t>
  </si>
  <si>
    <t>Bob Atwood</t>
  </si>
  <si>
    <t>Mike Lucki</t>
  </si>
  <si>
    <t>Volkswagen</t>
  </si>
  <si>
    <t>Acura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</si>
  <si>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</si>
  <si>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</si>
  <si>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</si>
  <si>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</si>
  <si>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</si>
  <si>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</si>
  <si>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</si>
  <si>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</si>
  <si>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</si>
  <si>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</si>
  <si>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</si>
  <si>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</si>
  <si>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</si>
  <si>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</si>
  <si>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</si>
  <si>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</si>
  <si>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</si>
  <si>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</si>
  <si>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</si>
  <si>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</si>
  <si>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</si>
  <si>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</si>
  <si>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</si>
  <si>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</si>
  <si>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</si>
  <si>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</si>
  <si>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</si>
  <si>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</si>
  <si>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</si>
  <si>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</si>
  <si>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</si>
  <si>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</si>
  <si>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</si>
  <si>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</si>
  <si>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</si>
  <si>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</si>
  <si>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</si>
  <si>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</si>
  <si>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</si>
  <si>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</si>
  <si>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</si>
  <si>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</si>
  <si>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</si>
  <si>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</si>
  <si>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</si>
  <si>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</si>
  <si>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</si>
  <si>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</si>
  <si>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</si>
  <si>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</si>
  <si>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</si>
  <si>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</si>
  <si>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</si>
  <si>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</si>
  <si>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</si>
  <si>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</si>
  <si>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</si>
  <si>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</si>
  <si>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</si>
  <si>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</si>
  <si>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</si>
  <si>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</si>
  <si>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</si>
  <si>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</si>
  <si>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</si>
  <si>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</si>
  <si>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</si>
  <si>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</si>
  <si>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</si>
  <si>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</si>
  <si>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</si>
  <si>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</si>
  <si>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</si>
  <si>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</si>
  <si>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</si>
  <si>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</si>
  <si>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</si>
  <si>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</si>
  <si>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</si>
  <si>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</si>
  <si>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</si>
  <si>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</si>
  <si>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</si>
  <si>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</si>
  <si>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</si>
  <si>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</si>
  <si>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</si>
  <si>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</si>
  <si>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</si>
  <si>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</si>
  <si>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</si>
  <si>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</si>
  <si>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</si>
  <si>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</si>
  <si>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</si>
  <si>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</si>
  <si>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</si>
  <si>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</si>
  <si>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</si>
  <si>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</si>
  <si>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</si>
  <si>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</si>
  <si>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</si>
  <si>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</si>
  <si>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</si>
  <si>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</si>
  <si>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</si>
  <si>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</si>
  <si>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</si>
  <si>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</si>
  <si>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</si>
  <si>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</si>
  <si>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</si>
  <si>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</si>
  <si>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</si>
  <si>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</si>
  <si>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</si>
  <si>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</si>
  <si>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</si>
  <si>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</si>
  <si>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</si>
  <si>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</si>
  <si>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</si>
  <si>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</si>
  <si>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</si>
  <si>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</si>
  <si>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</si>
  <si>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</si>
  <si>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</si>
  <si>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</si>
  <si>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</si>
  <si>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</si>
  <si>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</si>
  <si>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</si>
  <si>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</si>
  <si>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</si>
  <si>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</si>
  <si>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</si>
  <si>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</si>
  <si>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</si>
  <si>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</si>
  <si>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</si>
  <si>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</si>
  <si>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</si>
  <si>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Jason Shoemaker</t>
  </si>
  <si>
    <t>Mike Campbell</t>
  </si>
  <si>
    <t>Colin Knight</t>
  </si>
  <si>
    <t>Sierra</t>
  </si>
  <si>
    <t>Traverse</t>
  </si>
  <si>
    <t>Silverado</t>
  </si>
  <si>
    <t>Canyon</t>
  </si>
  <si>
    <t>grand cherokee</t>
  </si>
  <si>
    <t>sierra</t>
  </si>
  <si>
    <t>silverado</t>
  </si>
  <si>
    <t>equinox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</si>
</sst>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6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7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7" fontId="0" fillId="9" borderId="1" xfId="0" applyNumberFormat="1" applyFill="1" applyBorder="1"/>
    <xf numFmtId="166" fontId="0" fillId="9" borderId="1" xfId="1" applyNumberFormat="1" applyFont="1" applyFill="1" applyBorder="1"/>
    <xf numFmtId="9" fontId="0" fillId="9" borderId="1" xfId="0" applyNumberFormat="1" applyFill="1" applyBorder="1"/>
    <xf numFmtId="166" fontId="0" fillId="9" borderId="1" xfId="0" applyNumberFormat="1" applyFill="1" applyBorder="1"/>
    <xf numFmtId="167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6" fontId="3" fillId="0" borderId="1" xfId="1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7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6" fontId="3" fillId="0" borderId="1" xfId="1" applyNumberFormat="1" applyFont="1" applyFill="1" applyBorder="1" applyProtection="1">
      <protection locked="0"/>
    </xf>
    <xf numFmtId="166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165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6" fontId="3" fillId="4" borderId="14" xfId="1" applyNumberFormat="1" applyFill="1" applyBorder="1" applyAlignment="1" applyProtection="1">
      <alignment horizontal="center"/>
      <protection locked="0"/>
    </xf>
    <xf numFmtId="166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6" fontId="0" fillId="4" borderId="14" xfId="1" applyNumberFormat="1" applyFont="1" applyFill="1" applyBorder="1" applyProtection="1">
      <protection locked="0"/>
    </xf>
    <xf numFmtId="164" fontId="3" fillId="4" borderId="14" xfId="1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Alignment="1" applyProtection="1">
      <alignment horizontal="center" vertical="center"/>
      <protection locked="0"/>
    </xf>
    <xf numFmtId="164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6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6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6" fontId="0" fillId="2" borderId="14" xfId="1" applyNumberFormat="1" applyFon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7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6" fontId="6" fillId="3" borderId="1" xfId="0" applyNumberFormat="1" applyFont="1" applyFill="1" applyBorder="1" applyProtection="1">
      <protection locked="0"/>
    </xf>
    <xf numFmtId="166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6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6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165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165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165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zoomScale="110" zoomScaleNormal="110" workbookViewId="0">
      <pane ySplit="1" topLeftCell="A2" activePane="bottomLeft" state="frozen"/>
      <selection pane="bottomLeft" activeCell="D5" sqref="D5"/>
    </sheetView>
  </sheetViews>
  <sheetFormatPr defaultRowHeight="14.4"/>
  <cols>
    <col min="1" max="4" width="25.6640625" customWidth="1"/>
    <col min="5" max="5" width="17.554687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153</v>
      </c>
      <c r="B2" s="2" t="s">
        <v>153</v>
      </c>
      <c r="C2" s="2" t="s">
        <v>153</v>
      </c>
      <c r="D2" s="2" t="s">
        <v>15</v>
      </c>
      <c r="E2" s="41" t="s">
        <v>8</v>
      </c>
    </row>
    <row r="3" spans="1:5">
      <c r="A3" s="2"/>
      <c r="B3" s="2"/>
      <c r="C3" s="2" t="s">
        <v>154</v>
      </c>
      <c r="D3" s="2" t="s">
        <v>17</v>
      </c>
      <c r="E3" s="3" t="s">
        <v>10</v>
      </c>
    </row>
    <row r="4" spans="1:5">
      <c r="A4" s="2"/>
      <c r="B4" s="2"/>
      <c r="C4" s="2" t="s">
        <v>155</v>
      </c>
      <c r="D4" s="2" t="s">
        <v>23</v>
      </c>
      <c r="E4" s="3" t="s">
        <v>11</v>
      </c>
    </row>
    <row r="5" spans="1:5">
      <c r="A5" s="2"/>
      <c r="B5" s="2"/>
      <c r="C5" s="2"/>
      <c r="D5" s="2" t="s">
        <v>15</v>
      </c>
      <c r="E5" s="3" t="s">
        <v>9</v>
      </c>
    </row>
    <row r="6" spans="1:5">
      <c r="A6" s="2"/>
      <c r="B6" s="2"/>
      <c r="C6" s="2"/>
      <c r="D6" s="2"/>
      <c r="E6" s="3" t="s">
        <v>12</v>
      </c>
    </row>
    <row r="7" spans="1:5">
      <c r="A7" s="2"/>
      <c r="B7" s="2"/>
      <c r="C7" s="2"/>
      <c r="D7" s="2"/>
      <c r="E7" s="3" t="s">
        <v>13</v>
      </c>
    </row>
    <row r="8" spans="1:5">
      <c r="A8" s="2"/>
      <c r="B8" s="2"/>
      <c r="C8" s="2"/>
      <c r="D8" s="2"/>
      <c r="E8" s="3" t="s">
        <v>14</v>
      </c>
    </row>
    <row r="9" spans="1:5">
      <c r="A9" s="2"/>
      <c r="B9" s="2"/>
      <c r="C9" s="2"/>
      <c r="D9" s="2"/>
      <c r="E9" s="3" t="s">
        <v>15</v>
      </c>
    </row>
    <row r="10" spans="1:5">
      <c r="A10" s="2"/>
      <c r="B10" s="2"/>
      <c r="C10" s="2"/>
      <c r="D10" s="2"/>
      <c r="E10" s="3" t="s">
        <v>16</v>
      </c>
    </row>
    <row r="11" spans="1:5">
      <c r="A11" s="2"/>
      <c r="B11" s="2"/>
      <c r="C11" s="2"/>
      <c r="D11" s="2"/>
      <c r="E11" s="3" t="s">
        <v>17</v>
      </c>
    </row>
    <row r="12" spans="1:5">
      <c r="A12" s="2"/>
      <c r="B12" s="2"/>
      <c r="C12" s="2"/>
      <c r="D12" s="2"/>
      <c r="E12" s="3" t="s">
        <v>18</v>
      </c>
    </row>
    <row r="13" spans="1:5">
      <c r="A13" s="2"/>
      <c r="B13" s="2"/>
      <c r="C13" s="2"/>
      <c r="D13" s="2"/>
      <c r="E13" s="3" t="s">
        <v>19</v>
      </c>
    </row>
    <row r="14" spans="1:5">
      <c r="A14" s="2"/>
      <c r="B14" s="2"/>
      <c r="C14" s="2"/>
      <c r="D14" s="2"/>
      <c r="E14" s="3" t="s">
        <v>20</v>
      </c>
    </row>
    <row r="15" spans="1:5">
      <c r="A15" s="2"/>
      <c r="B15" s="2"/>
      <c r="C15" s="2"/>
      <c r="D15" s="2"/>
      <c r="E15" s="3" t="s">
        <v>21</v>
      </c>
    </row>
    <row r="16" spans="1:5">
      <c r="A16" s="2"/>
      <c r="B16" s="2"/>
      <c r="C16" s="2"/>
      <c r="D16" s="2"/>
      <c r="E16" s="3" t="s">
        <v>22</v>
      </c>
    </row>
    <row r="17" spans="1:5">
      <c r="A17" s="2"/>
      <c r="B17" s="2"/>
      <c r="C17" s="2"/>
      <c r="D17" s="2"/>
      <c r="E17" s="3" t="s">
        <v>23</v>
      </c>
    </row>
    <row r="18" spans="1:5">
      <c r="A18" s="2"/>
      <c r="B18" s="2"/>
      <c r="C18" s="2"/>
      <c r="D18" s="2"/>
      <c r="E18" s="3" t="s">
        <v>24</v>
      </c>
    </row>
    <row r="19" spans="1:5">
      <c r="A19" s="2"/>
      <c r="B19" s="2"/>
      <c r="C19" s="2"/>
      <c r="D19" s="2"/>
      <c r="E19" s="3" t="s">
        <v>25</v>
      </c>
    </row>
    <row r="20" spans="1:5">
      <c r="A20" s="2"/>
      <c r="B20" s="2"/>
      <c r="C20" s="2"/>
      <c r="D20" s="2"/>
      <c r="E20" s="3" t="s">
        <v>26</v>
      </c>
    </row>
    <row r="21" spans="1:5">
      <c r="A21" s="2"/>
      <c r="B21" s="2"/>
      <c r="C21" s="2"/>
      <c r="D21" s="2"/>
      <c r="E21" s="3" t="s">
        <v>27</v>
      </c>
    </row>
    <row r="22" spans="1:5">
      <c r="A22" s="2"/>
      <c r="B22" s="2"/>
      <c r="C22" s="2"/>
      <c r="D22" s="2"/>
      <c r="E22" s="3" t="s">
        <v>28</v>
      </c>
    </row>
    <row r="23" spans="1:5">
      <c r="A23" s="2"/>
      <c r="B23" s="2"/>
      <c r="C23" s="2"/>
      <c r="D23" s="2"/>
      <c r="E23" s="3" t="s">
        <v>29</v>
      </c>
    </row>
    <row r="24" spans="1:5">
      <c r="A24" s="2"/>
      <c r="B24" s="2"/>
      <c r="C24" s="2"/>
      <c r="D24" s="2"/>
      <c r="E24" s="3" t="s">
        <v>30</v>
      </c>
    </row>
    <row r="25" spans="1:5">
      <c r="A25" s="2"/>
      <c r="B25" s="2"/>
      <c r="C25" s="2"/>
      <c r="D25" s="2"/>
      <c r="E25" s="3" t="s">
        <v>31</v>
      </c>
    </row>
    <row r="26" spans="1:5">
      <c r="A26" s="2"/>
      <c r="B26" s="2"/>
      <c r="C26" s="2"/>
      <c r="D26" s="2"/>
      <c r="E26" s="3" t="s">
        <v>32</v>
      </c>
    </row>
    <row r="27" spans="1:5">
      <c r="A27" s="2"/>
      <c r="B27" s="2"/>
      <c r="C27" s="2"/>
      <c r="D27" s="2"/>
      <c r="E27" s="3" t="s">
        <v>33</v>
      </c>
    </row>
    <row r="28" spans="1:5">
      <c r="A28" s="2"/>
      <c r="B28" s="2"/>
      <c r="C28" s="2"/>
      <c r="D28" s="2"/>
      <c r="E28" s="3" t="s">
        <v>34</v>
      </c>
    </row>
    <row r="29" spans="1:5">
      <c r="A29" s="2"/>
      <c r="B29" s="2"/>
      <c r="C29" s="2"/>
      <c r="D29" s="2"/>
      <c r="E29" s="3" t="s">
        <v>35</v>
      </c>
    </row>
    <row r="30" spans="1:5">
      <c r="A30" s="2"/>
      <c r="B30" s="2"/>
      <c r="C30" s="2"/>
      <c r="D30" s="2"/>
      <c r="E30" s="3" t="s">
        <v>36</v>
      </c>
    </row>
    <row r="31" spans="1:5">
      <c r="A31" s="2"/>
      <c r="B31" s="2"/>
      <c r="C31" s="2"/>
      <c r="D31" s="2"/>
      <c r="E31" s="3" t="s">
        <v>37</v>
      </c>
    </row>
    <row r="32" spans="1:5">
      <c r="A32" s="2"/>
      <c r="B32" s="2"/>
      <c r="C32" s="2"/>
      <c r="D32" s="2"/>
      <c r="E32" s="3" t="s">
        <v>38</v>
      </c>
    </row>
    <row r="33" spans="1:5">
      <c r="A33" s="2"/>
      <c r="B33" s="2"/>
      <c r="C33" s="2"/>
      <c r="D33" s="2"/>
      <c r="E33" s="3" t="s">
        <v>39</v>
      </c>
    </row>
    <row r="34" spans="1:5">
      <c r="A34" s="2"/>
      <c r="B34" s="2"/>
      <c r="C34" s="2"/>
      <c r="D34" s="2"/>
      <c r="E34" s="3" t="s">
        <v>40</v>
      </c>
    </row>
    <row r="35" spans="1:5">
      <c r="A35" s="2"/>
      <c r="B35" s="2"/>
      <c r="C35" s="2"/>
      <c r="D35" s="2"/>
      <c r="E35" s="3" t="s">
        <v>41</v>
      </c>
    </row>
    <row r="36" spans="1:5">
      <c r="A36" s="2"/>
      <c r="B36" s="2"/>
      <c r="C36" s="2"/>
      <c r="D36" s="2"/>
      <c r="E36" s="3" t="s">
        <v>42</v>
      </c>
    </row>
    <row r="37" spans="1:5">
      <c r="A37" s="2"/>
      <c r="B37" s="2"/>
      <c r="C37" s="2"/>
      <c r="D37" s="2"/>
      <c r="E37" s="3" t="s">
        <v>43</v>
      </c>
    </row>
    <row r="38" spans="1:5">
      <c r="A38" s="2"/>
      <c r="B38" s="2"/>
      <c r="C38" s="2"/>
      <c r="D38" s="2"/>
      <c r="E38" s="3" t="s">
        <v>44</v>
      </c>
    </row>
    <row r="39" spans="1:5">
      <c r="A39" s="2"/>
      <c r="B39" s="2"/>
      <c r="C39" s="2"/>
      <c r="D39" s="2"/>
      <c r="E39" s="3" t="s">
        <v>45</v>
      </c>
    </row>
    <row r="40" spans="1:5">
      <c r="A40" s="2"/>
      <c r="B40" s="2"/>
      <c r="C40" s="2"/>
      <c r="D40" s="2"/>
      <c r="E40" s="3" t="s">
        <v>46</v>
      </c>
    </row>
    <row r="41" spans="1:5">
      <c r="A41" s="2"/>
      <c r="B41" s="2"/>
      <c r="C41" s="2"/>
      <c r="D41" s="2"/>
      <c r="E41" s="3" t="s">
        <v>47</v>
      </c>
    </row>
    <row r="42" spans="1:5">
      <c r="A42" s="2"/>
      <c r="B42" s="2"/>
      <c r="C42" s="2"/>
      <c r="D42" s="2"/>
      <c r="E42" s="3" t="s">
        <v>48</v>
      </c>
    </row>
    <row r="43" spans="1:5">
      <c r="A43" s="2"/>
      <c r="B43" s="2"/>
      <c r="C43" s="2"/>
      <c r="D43" s="2"/>
      <c r="E43" s="3" t="s">
        <v>49</v>
      </c>
    </row>
    <row r="44" spans="1:5">
      <c r="A44" s="2"/>
      <c r="B44" s="2"/>
      <c r="C44" s="2"/>
      <c r="D44" s="2"/>
      <c r="E44" s="3" t="s">
        <v>50</v>
      </c>
    </row>
    <row r="45" spans="1:5">
      <c r="A45" s="2"/>
      <c r="B45" s="2"/>
      <c r="C45" s="2"/>
      <c r="D45" s="2"/>
      <c r="E45" s="3" t="s">
        <v>51</v>
      </c>
    </row>
    <row r="46" spans="1:5">
      <c r="A46" s="2"/>
      <c r="B46" s="2"/>
      <c r="C46" s="2"/>
      <c r="D46" s="2"/>
      <c r="E46" s="3" t="s">
        <v>52</v>
      </c>
    </row>
    <row r="47" spans="1:5">
      <c r="A47" s="2"/>
      <c r="B47" s="2"/>
      <c r="C47" s="2"/>
      <c r="D47" s="2"/>
      <c r="E47" s="3" t="s">
        <v>53</v>
      </c>
    </row>
    <row r="48" spans="1:5">
      <c r="A48" s="2"/>
      <c r="B48" s="2"/>
      <c r="C48" s="2"/>
      <c r="D48" s="2"/>
      <c r="E48" s="3" t="s">
        <v>54</v>
      </c>
    </row>
    <row r="49" spans="1:5">
      <c r="A49" s="2"/>
      <c r="B49" s="2"/>
      <c r="C49" s="2"/>
      <c r="D49" s="2"/>
      <c r="E49" s="3" t="s">
        <v>7</v>
      </c>
    </row>
    <row r="50" spans="1:5">
      <c r="A50" s="2"/>
      <c r="B50" s="2"/>
      <c r="C50" s="2"/>
      <c r="D50" s="2"/>
      <c r="E50" s="3" t="s">
        <v>55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4.4"/>
  <cols>
    <col min="1" max="1" width="31.33203125" bestFit="1" customWidth="1"/>
    <col min="2" max="7" width="15.6640625" customWidth="1"/>
  </cols>
  <sheetData>
    <row r="1" spans="1:7" ht="22.5" customHeight="1">
      <c r="A1" s="25" t="s">
        <v>139</v>
      </c>
      <c r="B1" s="21"/>
    </row>
    <row r="2" spans="1:7" ht="22.5" customHeight="1">
      <c r="A2" s="28" t="s">
        <v>152</v>
      </c>
      <c r="B2" s="22" t="s">
        <v>141</v>
      </c>
      <c r="C2" s="32" t="s">
        <v>107</v>
      </c>
      <c r="D2" s="32" t="s">
        <v>111</v>
      </c>
      <c r="E2" s="32" t="s">
        <v>113</v>
      </c>
      <c r="F2" s="32" t="s">
        <v>114</v>
      </c>
      <c r="G2" s="32" t="s">
        <v>116</v>
      </c>
    </row>
    <row r="3" spans="1:7" ht="22.5" customHeight="1">
      <c r="A3" s="5" t="s">
        <v>125</v>
      </c>
      <c r="B3" s="6">
        <f>'Scoreboard Total'!B3</f>
        <v>19</v>
      </c>
      <c r="C3" s="6">
        <f>COUNTIF('Sales Log'!$W$14:$W$213,30)</f>
        <v>11</v>
      </c>
      <c r="D3" s="6">
        <f>COUNTIF('Sales Log'!$W$14:$W$213,45)</f>
        <v>1</v>
      </c>
      <c r="E3" s="6">
        <f>COUNTIF('Sales Log'!$W$14:$W$213,60)</f>
        <v>2</v>
      </c>
      <c r="F3" s="6">
        <f>COUNTIF('Sales Log'!$W$14:$W$213,90)</f>
        <v>2</v>
      </c>
      <c r="G3" s="6">
        <f>COUNTIF('Sales Log'!$W$14:$W$213,91)</f>
        <v>3</v>
      </c>
    </row>
    <row r="4" spans="1:7" ht="22.5" customHeight="1">
      <c r="A4" s="5" t="s">
        <v>149</v>
      </c>
      <c r="B4" s="9">
        <f>B3/'Sales Log'!$D$214</f>
        <v>1</v>
      </c>
      <c r="C4" s="9">
        <f>C3/'Sales Log'!$D$214</f>
        <v>0.57894736842105265</v>
      </c>
      <c r="D4" s="9">
        <f>D3/'Sales Log'!$D$214</f>
        <v>5.2631578947368418E-2</v>
      </c>
      <c r="E4" s="9">
        <f>E3/'Sales Log'!$D$214</f>
        <v>0.10526315789473684</v>
      </c>
      <c r="F4" s="9">
        <f>F3/'Sales Log'!$D$214</f>
        <v>0.10526315789473684</v>
      </c>
      <c r="G4" s="9">
        <f>G3/'Sales Log'!$D$214</f>
        <v>0.15789473684210525</v>
      </c>
    </row>
    <row r="5" spans="1:7" ht="22.5" customHeight="1">
      <c r="A5" s="5" t="s">
        <v>142</v>
      </c>
      <c r="B5" s="14">
        <f>COUNTIFS('Sales Log'!$I$14:$I$213,"No")/B3</f>
        <v>5.2631578947368418E-2</v>
      </c>
      <c r="C5" s="14">
        <f>COUNTIFS('Sales Log'!$I$14:$I$213,"No",'Sales Log'!$W$14:$W$213,30)/C3</f>
        <v>9.0909090909090912E-2</v>
      </c>
      <c r="D5" s="14">
        <f>COUNTIFS('Sales Log'!$I$14:$I$213,"No",'Sales Log'!$W$14:$W$213,45)/D3</f>
        <v>0</v>
      </c>
      <c r="E5" s="14">
        <f>COUNTIFS('Sales Log'!$I$14:$I$213,"No",'Sales Log'!$W$14:$W$213,60)/E3</f>
        <v>0</v>
      </c>
      <c r="F5" s="14">
        <f>COUNTIFS('Sales Log'!$I$14:$I$213,"No",'Sales Log'!$W$14:$W$213,90)/F3</f>
        <v>0</v>
      </c>
      <c r="G5" s="14">
        <f>COUNTIFS('Sales Log'!$I$14:$I$213,"No",'Sales Log'!$W$14:$W$213,91)/G3</f>
        <v>0</v>
      </c>
    </row>
    <row r="6" spans="1:7" s="4" customFormat="1" ht="21.75" customHeight="1">
      <c r="A6" s="11" t="s">
        <v>126</v>
      </c>
      <c r="B6" s="7">
        <f>'Sales Log'!$F$214</f>
        <v>41.842105263157897</v>
      </c>
      <c r="C6" s="24">
        <f>AVERAGEIF('Sales Log'!$W$14:$W$213,30,'Sales Log'!$F$14:$F$213)</f>
        <v>12.363636363636363</v>
      </c>
      <c r="D6" s="24">
        <f>AVERAGEIF('Sales Log'!$W$14:$W$213,45,'Sales Log'!$F$14:$F$213)</f>
        <v>34</v>
      </c>
      <c r="E6" s="24">
        <f>AVERAGEIF('Sales Log'!$W$14:$W$213,60,'Sales Log'!$F$14:$F$213)</f>
        <v>55.5</v>
      </c>
      <c r="F6" s="24">
        <f>AVERAGEIF('Sales Log'!$W$14:$W$213,90,'Sales Log'!$F$14:$F$213)</f>
        <v>71.5</v>
      </c>
      <c r="G6" s="24">
        <f>AVERAGEIF('Sales Log'!$W$14:$W$213,91,'Sales Log'!$F$14:$F$213)</f>
        <v>123.66666666666667</v>
      </c>
    </row>
    <row r="7" spans="1:7" ht="22.5" customHeight="1">
      <c r="A7" s="5" t="s">
        <v>128</v>
      </c>
      <c r="B7" s="8">
        <f>'Sales Log'!$K$214</f>
        <v>52228.473684210527</v>
      </c>
      <c r="C7" s="8">
        <f>AVERAGEIF('Sales Log'!$W$14:$W$213,30,'Sales Log'!$K$14:$K$213)</f>
        <v>55769.181818181816</v>
      </c>
      <c r="D7" s="8">
        <f>AVERAGEIF('Sales Log'!$W$14:$W$213,45,'Sales Log'!$K$14:$K$213)</f>
        <v>82000</v>
      </c>
      <c r="E7" s="8">
        <f>AVERAGEIF('Sales Log'!$W$14:$W$213,60,'Sales Log'!$K$14:$K$213)</f>
        <v>38125</v>
      </c>
      <c r="F7" s="8">
        <f>AVERAGEIF('Sales Log'!$W$14:$W$213,90,'Sales Log'!$K$14:$K$213)</f>
        <v>43345</v>
      </c>
      <c r="G7" s="8">
        <f>AVERAGEIF('Sales Log'!$W$14:$W$213,91,'Sales Log'!$K$14:$K$213)</f>
        <v>44646.666666666664</v>
      </c>
    </row>
    <row r="8" spans="1:7" ht="22.5" customHeight="1">
      <c r="A8" s="5" t="s">
        <v>150</v>
      </c>
      <c r="B8" s="9">
        <f>'Sales Log'!$N$214</f>
        <v>0.98495914992028188</v>
      </c>
      <c r="C8" s="14">
        <f>AVERAGEIF('Sales Log'!$W$14:$W$213,30,'Sales Log'!$N14:$N$213)</f>
        <v>0.97421919555392833</v>
      </c>
      <c r="D8" s="14">
        <f>AVERAGEIF('Sales Log'!$W$14:$W$213,45,'Sales Log'!$N14:$N$213)</f>
        <v>0.98176550171808963</v>
      </c>
      <c r="E8" s="14">
        <f>AVERAGEIF('Sales Log'!$W$14:$W$213,60,'Sales Log'!$N14:$N$213)</f>
        <v>0.98925351914903659</v>
      </c>
      <c r="F8" s="14">
        <f>AVERAGEIF('Sales Log'!$W$14:$W$213,90,'Sales Log'!$N14:$N$213)</f>
        <v>0.97</v>
      </c>
      <c r="G8" s="14">
        <f>AVERAGEIF('Sales Log'!$W$14:$W$213,91,'Sales Log'!$N14:$N$213)</f>
        <v>1.0174876520488079</v>
      </c>
    </row>
    <row r="9" spans="1:7" ht="22.5" customHeight="1">
      <c r="A9" s="5" t="s">
        <v>132</v>
      </c>
      <c r="B9" s="8">
        <f>'Sales Log'!$O$214</f>
        <v>1272</v>
      </c>
      <c r="C9" s="8">
        <f>AVERAGEIF('Sales Log'!$W$14:$W$213,30,'Sales Log'!$O$14:$O$213)</f>
        <v>1763.1818181818182</v>
      </c>
      <c r="D9" s="8">
        <f>AVERAGEIF('Sales Log'!$W$14:$W$213,45,'Sales Log'!$O$14:$O$213)</f>
        <v>1523</v>
      </c>
      <c r="E9" s="8">
        <f>AVERAGEIF('Sales Log'!$W$14:$W$213,60,'Sales Log'!$O$14:$O$213)</f>
        <v>815</v>
      </c>
      <c r="F9" s="8">
        <f>AVERAGEIF('Sales Log'!$W$14:$W$213,90,'Sales Log'!$O$14:$O$213)</f>
        <v>0</v>
      </c>
      <c r="G9" s="8">
        <f>AVERAGEIF('Sales Log'!$W$14:$W$213,91,'Sales Log'!$O$14:$O$213)</f>
        <v>540</v>
      </c>
    </row>
    <row r="10" spans="1:7" ht="22.5" customHeight="1">
      <c r="A10" s="5" t="s">
        <v>151</v>
      </c>
      <c r="B10" s="8">
        <f>'Sales Log'!$P$214</f>
        <v>2991.6315789473683</v>
      </c>
      <c r="C10" s="8">
        <f>AVERAGEIF('Sales Log'!$W$14:$W$213,30,'Sales Log'!$P$14:$P$213)</f>
        <v>3591.181818181818</v>
      </c>
      <c r="D10" s="8">
        <f>AVERAGEIF('Sales Log'!$W$14:$W$213,45,'Sales Log'!$P$14:$P$213)</f>
        <v>2271</v>
      </c>
      <c r="E10" s="8">
        <f>AVERAGEIF('Sales Log'!$W$14:$W$213,60,'Sales Log'!$P$14:$P$213)</f>
        <v>2518.5</v>
      </c>
      <c r="F10" s="8">
        <f>AVERAGEIF('Sales Log'!$W$14:$W$213,90,'Sales Log'!$P$14:$P$213)</f>
        <v>1764</v>
      </c>
      <c r="G10" s="8">
        <f>AVERAGEIF('Sales Log'!$W$14:$W$213,91,'Sales Log'!$P$14:$P$213)</f>
        <v>2167.3333333333335</v>
      </c>
    </row>
    <row r="11" spans="1:7" ht="22.5" customHeight="1">
      <c r="A11" s="5" t="s">
        <v>134</v>
      </c>
      <c r="B11" s="8">
        <f>'Sales Log'!$Q$214</f>
        <v>895.68421052631584</v>
      </c>
      <c r="C11" s="8">
        <f>AVERAGEIF('Sales Log'!$W$14:$W$213,30,'Sales Log'!$Q$14:$Q$213)</f>
        <v>907.36363636363637</v>
      </c>
      <c r="D11" s="8">
        <f>AVERAGEIF('Sales Log'!$W$14:$W$213,45,'Sales Log'!$Q$14:$Q$213)</f>
        <v>399</v>
      </c>
      <c r="E11" s="8">
        <f>AVERAGEIF('Sales Log'!$W$14:$W$213,60,'Sales Log'!$Q$14:$Q$213)</f>
        <v>928</v>
      </c>
      <c r="F11" s="8">
        <f>AVERAGEIF('Sales Log'!$W$14:$W$213,90,'Sales Log'!$Q$14:$Q$213)</f>
        <v>449.5</v>
      </c>
      <c r="G11" s="8">
        <f>AVERAGEIF('Sales Log'!$W$14:$W$213,91,'Sales Log'!$Q$14:$Q$213)</f>
        <v>1294.3333333333333</v>
      </c>
    </row>
    <row r="12" spans="1:7" ht="22.5" customHeight="1">
      <c r="A12" s="5" t="s">
        <v>135</v>
      </c>
      <c r="B12" s="8">
        <f>'Sales Log'!$R$214</f>
        <v>3887.3157894736842</v>
      </c>
      <c r="C12" s="8">
        <f>C10+C11</f>
        <v>4498.545454545454</v>
      </c>
      <c r="D12" s="8">
        <f t="shared" ref="D12:G12" si="0">D10+D11</f>
        <v>2670</v>
      </c>
      <c r="E12" s="8">
        <f t="shared" si="0"/>
        <v>3446.5</v>
      </c>
      <c r="F12" s="8">
        <f t="shared" si="0"/>
        <v>2213.5</v>
      </c>
      <c r="G12" s="8">
        <f t="shared" si="0"/>
        <v>3461.666666666667</v>
      </c>
    </row>
    <row r="13" spans="1:7" ht="21.75" customHeight="1">
      <c r="A13" s="5" t="s">
        <v>136</v>
      </c>
      <c r="B13" s="10">
        <f>B12*B3</f>
        <v>73859</v>
      </c>
      <c r="C13" s="10">
        <f>C12*C3</f>
        <v>49483.999999999993</v>
      </c>
      <c r="D13" s="10">
        <f t="shared" ref="D13:G13" si="1">D12*D3</f>
        <v>2670</v>
      </c>
      <c r="E13" s="10">
        <f t="shared" si="1"/>
        <v>6893</v>
      </c>
      <c r="F13" s="10">
        <f t="shared" si="1"/>
        <v>4427</v>
      </c>
      <c r="G13" s="10">
        <f t="shared" si="1"/>
        <v>10385</v>
      </c>
    </row>
    <row r="14" spans="1:7" ht="21.75" customHeight="1">
      <c r="A14" s="5" t="s">
        <v>90</v>
      </c>
      <c r="B14" s="9">
        <f>(B12/(B7)*(360/B6))</f>
        <v>0.64037071249454292</v>
      </c>
      <c r="C14" s="9">
        <f>(C12/(C7)*(360/C6))</f>
        <v>2.3487355301458828</v>
      </c>
      <c r="D14" s="9">
        <f t="shared" ref="D14:G14" si="2">(D12/(D7)*(360/D6))</f>
        <v>0.34476327116212341</v>
      </c>
      <c r="E14" s="9">
        <f t="shared" si="2"/>
        <v>0.58637837837837836</v>
      </c>
      <c r="F14" s="9">
        <f t="shared" si="2"/>
        <v>0.25712066224236024</v>
      </c>
      <c r="G14" s="9">
        <f t="shared" si="2"/>
        <v>0.22570753207675964</v>
      </c>
    </row>
    <row r="15" spans="1:7" ht="21.75" customHeight="1">
      <c r="A15" s="5" t="s">
        <v>137</v>
      </c>
      <c r="B15" s="9">
        <f>'Sales Log'!AA214/'Scoreboard Total'!B3</f>
        <v>0.42105263157894735</v>
      </c>
      <c r="C15" s="9">
        <f>COUNTIFS('Sales Log'!$W$14:$W$213,30,'Sales Log'!$AA$14:$AA$213,"Yes")/C$3</f>
        <v>0.27272727272727271</v>
      </c>
      <c r="D15" s="9">
        <f>COUNTIFS('Sales Log'!$W$14:$W$213,45,'Sales Log'!$AA$14:$AA$213,"Yes")/D$3</f>
        <v>1</v>
      </c>
      <c r="E15" s="9">
        <f>COUNTIFS('Sales Log'!$W$14:$W$213,60,'Sales Log'!$AA$14:$AA$213,"Yes")/E$3</f>
        <v>0.5</v>
      </c>
      <c r="F15" s="9">
        <f>COUNTIFS('Sales Log'!$W$14:$W$213,90,'Sales Log'!$AA$14:$AA$213,"Yes")/F$3</f>
        <v>0.5</v>
      </c>
      <c r="G15" s="9">
        <f>COUNTIFS('Sales Log'!$W$14:$W$213,91,'Sales Log'!$AA$14:$AA$213,"Yes")/G$3</f>
        <v>0.66666666666666663</v>
      </c>
    </row>
    <row r="16" spans="1:7" ht="21.75" customHeight="1">
      <c r="A16" s="5" t="s">
        <v>138</v>
      </c>
      <c r="B16" s="114">
        <f>'Sales Log'!$AB$214</f>
        <v>-78.94736842105263</v>
      </c>
      <c r="C16" s="114">
        <f>AVERAGEIF('Sales Log'!$W$14:$W$213,30,'Sales Log'!$AB$14:$AB$213)</f>
        <v>-136.36363636363637</v>
      </c>
      <c r="D16" s="114">
        <f>AVERAGEIF('Sales Log'!$W$14:$W$213,45,'Sales Log'!$AB$14:$AB$213)</f>
        <v>0</v>
      </c>
      <c r="E16" s="114">
        <f>AVERAGEIF('Sales Log'!$W$14:$W$213,60,'Sales Log'!$AB$14:$AB$213)</f>
        <v>-1000</v>
      </c>
      <c r="F16" s="114">
        <f>AVERAGEIF('Sales Log'!$W$14:$W$213,90,'Sales Log'!$AB$14:$AB$213)</f>
        <v>-500</v>
      </c>
      <c r="G16" s="114">
        <f>AVERAGEIF('Sales Log'!$W$14:$W$213,91,'Sales Log'!$AB$14:$AB$213)</f>
        <v>1000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="70" zoomScaleNormal="70" workbookViewId="0">
      <pane ySplit="13" topLeftCell="A20" activePane="bottomLeft" state="frozen"/>
      <selection pane="bottomLeft" activeCell="B33" sqref="B33"/>
    </sheetView>
  </sheetViews>
  <sheetFormatPr defaultColWidth="9.109375" defaultRowHeight="15.6"/>
  <cols>
    <col min="1" max="1" width="4.88671875" style="109" customWidth="1"/>
    <col min="2" max="2" width="10.44140625" style="109" customWidth="1"/>
    <col min="3" max="3" width="5.33203125" style="110" bestFit="1" customWidth="1"/>
    <col min="4" max="4" width="13.6640625" style="110" bestFit="1" customWidth="1"/>
    <col min="5" max="5" width="14.44140625" style="110" bestFit="1" customWidth="1"/>
    <col min="6" max="6" width="7.109375" style="110" bestFit="1" customWidth="1"/>
    <col min="7" max="7" width="18.88671875" style="109" bestFit="1" customWidth="1"/>
    <col min="8" max="8" width="4.109375" style="111" bestFit="1" customWidth="1"/>
    <col min="9" max="9" width="11" style="111" hidden="1" customWidth="1"/>
    <col min="10" max="10" width="15.5546875" style="51" bestFit="1" customWidth="1"/>
    <col min="11" max="11" width="11.88671875" style="51" bestFit="1" customWidth="1"/>
    <col min="12" max="12" width="15.44140625" style="51" customWidth="1"/>
    <col min="13" max="13" width="12.5546875" style="51" hidden="1" customWidth="1"/>
    <col min="14" max="14" width="13.109375" style="51" hidden="1" customWidth="1"/>
    <col min="15" max="15" width="13.44140625" style="51" hidden="1" customWidth="1"/>
    <col min="16" max="16" width="9.5546875" style="112" bestFit="1" customWidth="1"/>
    <col min="17" max="17" width="8.44140625" style="112" bestFit="1" customWidth="1"/>
    <col min="18" max="18" width="9.109375" style="51" hidden="1" customWidth="1"/>
    <col min="19" max="19" width="7.88671875" style="51" hidden="1" customWidth="1"/>
    <col min="20" max="20" width="14.5546875" style="51" bestFit="1" customWidth="1"/>
    <col min="21" max="21" width="13.88671875" style="51" bestFit="1" customWidth="1"/>
    <col min="22" max="22" width="16.5546875" style="51" bestFit="1" customWidth="1"/>
    <col min="23" max="23" width="12.109375" style="51" hidden="1" customWidth="1"/>
    <col min="24" max="24" width="18.88671875" style="51" hidden="1" customWidth="1"/>
    <col min="25" max="25" width="7.109375" style="51" hidden="1" customWidth="1"/>
    <col min="26" max="26" width="10.109375" style="51" hidden="1" customWidth="1"/>
    <col min="27" max="27" width="6" style="51" bestFit="1" customWidth="1"/>
    <col min="28" max="28" width="10.109375" style="51" customWidth="1"/>
    <col min="29" max="16384" width="9.109375" style="51"/>
  </cols>
  <sheetData>
    <row r="1" spans="1:28" ht="21.6">
      <c r="A1" s="46" t="s">
        <v>56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4.4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58</v>
      </c>
      <c r="B4" s="118" t="s">
        <v>59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60</v>
      </c>
      <c r="B5" s="118" t="s">
        <v>61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62</v>
      </c>
      <c r="B6" s="118" t="s">
        <v>63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64</v>
      </c>
      <c r="B7" s="118" t="s">
        <v>65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66</v>
      </c>
      <c r="B8" s="118" t="s">
        <v>67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68</v>
      </c>
      <c r="B9" s="120" t="s">
        <v>69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70</v>
      </c>
      <c r="B10" s="120" t="s">
        <v>71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4.4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72">
      <c r="A12" s="56" t="s">
        <v>72</v>
      </c>
      <c r="B12" s="56" t="s">
        <v>73</v>
      </c>
      <c r="C12" s="57" t="s">
        <v>74</v>
      </c>
      <c r="D12" s="57" t="s">
        <v>75</v>
      </c>
      <c r="E12" s="57" t="s">
        <v>76</v>
      </c>
      <c r="F12" s="57" t="s">
        <v>77</v>
      </c>
      <c r="G12" s="56" t="s">
        <v>78</v>
      </c>
      <c r="H12" s="56" t="s">
        <v>79</v>
      </c>
      <c r="I12" s="56" t="s">
        <v>80</v>
      </c>
      <c r="J12" s="58" t="s">
        <v>81</v>
      </c>
      <c r="K12" s="58" t="s">
        <v>82</v>
      </c>
      <c r="L12" s="58" t="s">
        <v>83</v>
      </c>
      <c r="M12" s="58" t="s">
        <v>84</v>
      </c>
      <c r="N12" s="58" t="s">
        <v>85</v>
      </c>
      <c r="O12" s="58" t="s">
        <v>86</v>
      </c>
      <c r="P12" s="58" t="s">
        <v>87</v>
      </c>
      <c r="Q12" s="58" t="s">
        <v>88</v>
      </c>
      <c r="R12" s="58" t="s">
        <v>89</v>
      </c>
      <c r="S12" s="58" t="s">
        <v>90</v>
      </c>
      <c r="T12" s="58" t="s">
        <v>91</v>
      </c>
      <c r="U12" s="58" t="s">
        <v>92</v>
      </c>
      <c r="V12" s="58" t="s">
        <v>93</v>
      </c>
      <c r="W12" s="59" t="s">
        <v>94</v>
      </c>
      <c r="X12" s="59" t="s">
        <v>95</v>
      </c>
      <c r="Y12" s="59" t="s">
        <v>96</v>
      </c>
      <c r="Z12" s="59" t="s">
        <v>97</v>
      </c>
      <c r="AA12" s="56" t="s">
        <v>98</v>
      </c>
      <c r="AB12" s="56" t="s">
        <v>99</v>
      </c>
    </row>
    <row r="13" spans="1:28" ht="14.4">
      <c r="A13" s="61" t="s">
        <v>100</v>
      </c>
      <c r="B13" s="61" t="s">
        <v>101</v>
      </c>
      <c r="C13" s="62">
        <v>2015</v>
      </c>
      <c r="D13" s="62" t="s">
        <v>17</v>
      </c>
      <c r="E13" s="62" t="s">
        <v>102</v>
      </c>
      <c r="F13" s="62">
        <v>30</v>
      </c>
      <c r="G13" s="62" t="s">
        <v>103</v>
      </c>
      <c r="H13" s="62" t="s">
        <v>104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Yes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105</v>
      </c>
      <c r="U13" s="72" t="s">
        <v>106</v>
      </c>
      <c r="V13" s="72" t="s">
        <v>6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103</v>
      </c>
      <c r="Y13" s="74" t="s">
        <v>104</v>
      </c>
      <c r="Z13" s="74" t="s">
        <v>107</v>
      </c>
      <c r="AA13" s="62" t="s">
        <v>108</v>
      </c>
      <c r="AB13" s="68">
        <v>2000</v>
      </c>
    </row>
    <row r="14" spans="1:28" ht="14.4">
      <c r="A14" s="15">
        <v>1</v>
      </c>
      <c r="B14" s="15">
        <v>12347</v>
      </c>
      <c r="C14" s="16">
        <v>2020</v>
      </c>
      <c r="D14" s="75" t="s">
        <v>23</v>
      </c>
      <c r="E14" s="16" t="s">
        <v>156</v>
      </c>
      <c r="F14" s="17">
        <v>58</v>
      </c>
      <c r="G14" s="75" t="s">
        <v>103</v>
      </c>
      <c r="H14" s="75" t="s">
        <v>104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59990</v>
      </c>
      <c r="K14" s="37">
        <v>60000</v>
      </c>
      <c r="L14" s="77">
        <v>1.07</v>
      </c>
      <c r="M14" s="78">
        <f t="shared" ref="M14:M15" si="3">J14/L14</f>
        <v>56065.420560747662</v>
      </c>
      <c r="N14" s="79">
        <f t="shared" ref="N14:N15" si="4">K14/M14</f>
        <v>1.0701783630605102</v>
      </c>
      <c r="O14" s="80">
        <f t="shared" ref="O14:O15" si="5">IF(K14=0,"BLANK",(J14-K14))</f>
        <v>-10</v>
      </c>
      <c r="P14" s="19">
        <v>2997</v>
      </c>
      <c r="Q14" s="19">
        <v>1457</v>
      </c>
      <c r="R14" s="81">
        <f t="shared" ref="R14:R15" si="6">IF(K14=0,"BLANK",SUM(P14:Q14))</f>
        <v>4454</v>
      </c>
      <c r="S14" s="82">
        <f t="shared" ref="S14:S15" si="7">(R14/(K14-P14))*(360/F14)</f>
        <v>0.48498354896021806</v>
      </c>
      <c r="T14" s="83" t="s">
        <v>154</v>
      </c>
      <c r="U14" s="83" t="s">
        <v>153</v>
      </c>
      <c r="V14" s="83" t="s">
        <v>153</v>
      </c>
      <c r="W14" s="113">
        <f t="shared" si="2"/>
        <v>60</v>
      </c>
      <c r="X14" s="74" t="s">
        <v>110</v>
      </c>
      <c r="Y14" s="74" t="s">
        <v>108</v>
      </c>
      <c r="Z14" s="74" t="s">
        <v>111</v>
      </c>
      <c r="AA14" s="75" t="s">
        <v>108</v>
      </c>
      <c r="AB14" s="44">
        <v>-2000</v>
      </c>
    </row>
    <row r="15" spans="1:28" ht="14.4">
      <c r="A15" s="15">
        <f t="shared" ref="A15:A78" si="8">A14+1</f>
        <v>2</v>
      </c>
      <c r="B15" s="15">
        <v>12370</v>
      </c>
      <c r="C15" s="16">
        <v>2020</v>
      </c>
      <c r="D15" s="75" t="s">
        <v>23</v>
      </c>
      <c r="E15" s="16" t="s">
        <v>156</v>
      </c>
      <c r="F15" s="17">
        <v>18</v>
      </c>
      <c r="G15" s="75" t="s">
        <v>103</v>
      </c>
      <c r="H15" s="75" t="s">
        <v>108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67890</v>
      </c>
      <c r="K15" s="37">
        <v>65000</v>
      </c>
      <c r="L15" s="35">
        <v>1.04</v>
      </c>
      <c r="M15" s="78">
        <f t="shared" si="3"/>
        <v>65278.846153846149</v>
      </c>
      <c r="N15" s="79">
        <f t="shared" si="4"/>
        <v>0.99572838415083231</v>
      </c>
      <c r="O15" s="80">
        <f t="shared" si="5"/>
        <v>2890</v>
      </c>
      <c r="P15" s="19">
        <v>2330</v>
      </c>
      <c r="Q15" s="19">
        <v>1411</v>
      </c>
      <c r="R15" s="81">
        <f t="shared" si="6"/>
        <v>3741</v>
      </c>
      <c r="S15" s="82">
        <f t="shared" si="7"/>
        <v>1.1938726663475348</v>
      </c>
      <c r="T15" s="83" t="s">
        <v>153</v>
      </c>
      <c r="U15" s="83" t="s">
        <v>153</v>
      </c>
      <c r="V15" s="83" t="s">
        <v>153</v>
      </c>
      <c r="W15" s="113">
        <f t="shared" si="2"/>
        <v>30</v>
      </c>
      <c r="X15" s="74" t="s">
        <v>112</v>
      </c>
      <c r="Z15" s="74" t="s">
        <v>113</v>
      </c>
      <c r="AA15" s="75" t="s">
        <v>104</v>
      </c>
      <c r="AB15" s="44">
        <v>0</v>
      </c>
    </row>
    <row r="16" spans="1:28" ht="14.4">
      <c r="A16" s="15">
        <f t="shared" si="8"/>
        <v>3</v>
      </c>
      <c r="B16" s="15">
        <v>13181</v>
      </c>
      <c r="C16" s="16">
        <v>2009</v>
      </c>
      <c r="D16" s="75" t="s">
        <v>23</v>
      </c>
      <c r="E16" s="16" t="s">
        <v>156</v>
      </c>
      <c r="F16" s="17">
        <v>74</v>
      </c>
      <c r="G16" s="75" t="s">
        <v>103</v>
      </c>
      <c r="H16" s="75" t="s">
        <v>104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Yes</v>
      </c>
      <c r="J16" s="37">
        <v>9000</v>
      </c>
      <c r="K16" s="37">
        <v>9000</v>
      </c>
      <c r="L16" s="35">
        <v>0.9</v>
      </c>
      <c r="M16" s="78">
        <f t="shared" ref="M16:M78" si="9">J16/L16</f>
        <v>10000</v>
      </c>
      <c r="N16" s="79">
        <f t="shared" ref="N16:N78" si="10">K16/M16</f>
        <v>0.9</v>
      </c>
      <c r="O16" s="80">
        <f t="shared" si="0"/>
        <v>0</v>
      </c>
      <c r="P16" s="19">
        <v>500</v>
      </c>
      <c r="Q16" s="19">
        <v>0</v>
      </c>
      <c r="R16" s="81">
        <f t="shared" si="1"/>
        <v>500</v>
      </c>
      <c r="S16" s="82">
        <f t="shared" ref="S16:S78" si="11">(R16/(K16-P16))*(360/F16)</f>
        <v>0.2861685214626391</v>
      </c>
      <c r="T16" s="83" t="s">
        <v>155</v>
      </c>
      <c r="U16" s="83" t="s">
        <v>153</v>
      </c>
      <c r="V16" s="83" t="s">
        <v>153</v>
      </c>
      <c r="W16" s="113">
        <f t="shared" si="2"/>
        <v>90</v>
      </c>
      <c r="X16" s="74" t="s">
        <v>109</v>
      </c>
      <c r="Z16" s="74" t="s">
        <v>114</v>
      </c>
      <c r="AA16" s="75" t="s">
        <v>104</v>
      </c>
      <c r="AB16" s="44">
        <v>0</v>
      </c>
    </row>
    <row r="17" spans="1:28" ht="14.4">
      <c r="A17" s="15">
        <f t="shared" si="8"/>
        <v>4</v>
      </c>
      <c r="B17" s="15">
        <v>12397</v>
      </c>
      <c r="C17" s="16">
        <v>2020</v>
      </c>
      <c r="D17" s="75" t="s">
        <v>17</v>
      </c>
      <c r="E17" s="16" t="s">
        <v>157</v>
      </c>
      <c r="F17" s="17">
        <v>110</v>
      </c>
      <c r="G17" s="75" t="s">
        <v>110</v>
      </c>
      <c r="H17" s="75" t="s">
        <v>104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Yes</v>
      </c>
      <c r="J17" s="37">
        <v>40880</v>
      </c>
      <c r="K17" s="37">
        <v>40000</v>
      </c>
      <c r="L17" s="35">
        <v>1.06</v>
      </c>
      <c r="M17" s="78">
        <f t="shared" si="9"/>
        <v>38566.037735849051</v>
      </c>
      <c r="N17" s="79">
        <f t="shared" si="10"/>
        <v>1.0371819960861057</v>
      </c>
      <c r="O17" s="80">
        <f t="shared" si="0"/>
        <v>880</v>
      </c>
      <c r="P17" s="19">
        <v>2518</v>
      </c>
      <c r="Q17" s="19">
        <v>399</v>
      </c>
      <c r="R17" s="81">
        <f t="shared" si="1"/>
        <v>2917</v>
      </c>
      <c r="S17" s="82">
        <f t="shared" si="11"/>
        <v>0.25469679991850636</v>
      </c>
      <c r="T17" s="83" t="s">
        <v>153</v>
      </c>
      <c r="U17" s="83" t="s">
        <v>153</v>
      </c>
      <c r="V17" s="83" t="s">
        <v>153</v>
      </c>
      <c r="W17" s="113">
        <f t="shared" si="2"/>
        <v>91</v>
      </c>
      <c r="X17" s="74" t="s">
        <v>115</v>
      </c>
      <c r="Z17" s="74" t="s">
        <v>116</v>
      </c>
      <c r="AA17" s="75" t="s">
        <v>108</v>
      </c>
      <c r="AB17" s="44">
        <v>3000</v>
      </c>
    </row>
    <row r="18" spans="1:28" ht="14.4">
      <c r="A18" s="15">
        <f t="shared" si="8"/>
        <v>5</v>
      </c>
      <c r="B18" s="15">
        <v>13201</v>
      </c>
      <c r="C18" s="16">
        <v>2012</v>
      </c>
      <c r="D18" s="75" t="s">
        <v>17</v>
      </c>
      <c r="E18" s="16" t="s">
        <v>158</v>
      </c>
      <c r="F18" s="17">
        <v>53</v>
      </c>
      <c r="G18" s="75" t="s">
        <v>103</v>
      </c>
      <c r="H18" s="75" t="s">
        <v>104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Yes</v>
      </c>
      <c r="J18" s="37">
        <v>17890</v>
      </c>
      <c r="K18" s="37">
        <v>16250</v>
      </c>
      <c r="L18" s="35">
        <v>1</v>
      </c>
      <c r="M18" s="78">
        <f t="shared" si="9"/>
        <v>17890</v>
      </c>
      <c r="N18" s="79">
        <f t="shared" si="10"/>
        <v>0.90832867523756289</v>
      </c>
      <c r="O18" s="80">
        <f t="shared" si="0"/>
        <v>1640</v>
      </c>
      <c r="P18" s="19">
        <v>2040</v>
      </c>
      <c r="Q18" s="19">
        <v>399</v>
      </c>
      <c r="R18" s="81">
        <f t="shared" si="1"/>
        <v>2439</v>
      </c>
      <c r="S18" s="82">
        <f t="shared" si="11"/>
        <v>1.1658545005510337</v>
      </c>
      <c r="T18" s="83" t="s">
        <v>153</v>
      </c>
      <c r="U18" s="83" t="s">
        <v>153</v>
      </c>
      <c r="V18" s="83" t="s">
        <v>153</v>
      </c>
      <c r="W18" s="113">
        <f t="shared" si="2"/>
        <v>60</v>
      </c>
      <c r="X18" s="74" t="s">
        <v>117</v>
      </c>
      <c r="AA18" s="75" t="s">
        <v>104</v>
      </c>
      <c r="AB18" s="44">
        <v>0</v>
      </c>
    </row>
    <row r="19" spans="1:28" ht="14.4">
      <c r="A19" s="15">
        <f t="shared" si="8"/>
        <v>6</v>
      </c>
      <c r="B19" s="15">
        <v>12714</v>
      </c>
      <c r="C19" s="16">
        <v>2021</v>
      </c>
      <c r="D19" s="75" t="s">
        <v>23</v>
      </c>
      <c r="E19" s="16" t="s">
        <v>159</v>
      </c>
      <c r="F19" s="17">
        <v>20</v>
      </c>
      <c r="G19" s="75" t="s">
        <v>103</v>
      </c>
      <c r="H19" s="75" t="s">
        <v>104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>
        <v>47960</v>
      </c>
      <c r="K19" s="37">
        <v>46500</v>
      </c>
      <c r="L19" s="35">
        <v>1</v>
      </c>
      <c r="M19" s="78">
        <f t="shared" si="9"/>
        <v>47960</v>
      </c>
      <c r="N19" s="79">
        <f t="shared" si="10"/>
        <v>0.96955796497080904</v>
      </c>
      <c r="O19" s="80">
        <f t="shared" si="0"/>
        <v>1460</v>
      </c>
      <c r="P19" s="19">
        <v>1790</v>
      </c>
      <c r="Q19" s="19">
        <v>399</v>
      </c>
      <c r="R19" s="81">
        <f t="shared" si="1"/>
        <v>2189</v>
      </c>
      <c r="S19" s="82">
        <f t="shared" si="11"/>
        <v>0.88127935584880346</v>
      </c>
      <c r="T19" s="83" t="s">
        <v>153</v>
      </c>
      <c r="U19" s="83" t="s">
        <v>153</v>
      </c>
      <c r="V19" s="83" t="s">
        <v>153</v>
      </c>
      <c r="W19" s="113">
        <f t="shared" si="2"/>
        <v>30</v>
      </c>
      <c r="X19" s="74" t="s">
        <v>118</v>
      </c>
      <c r="AA19" s="75" t="s">
        <v>104</v>
      </c>
      <c r="AB19" s="44">
        <v>0</v>
      </c>
    </row>
    <row r="20" spans="1:28" ht="14.4">
      <c r="A20" s="15">
        <f t="shared" si="8"/>
        <v>7</v>
      </c>
      <c r="B20" s="15">
        <v>13235</v>
      </c>
      <c r="C20" s="16">
        <v>2014</v>
      </c>
      <c r="D20" s="75" t="s">
        <v>29</v>
      </c>
      <c r="E20" s="16" t="s">
        <v>160</v>
      </c>
      <c r="F20" s="17">
        <v>10</v>
      </c>
      <c r="G20" s="75" t="s">
        <v>110</v>
      </c>
      <c r="H20" s="75" t="s">
        <v>104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No</v>
      </c>
      <c r="J20" s="37">
        <v>25740</v>
      </c>
      <c r="K20" s="37">
        <v>24740</v>
      </c>
      <c r="L20" s="35">
        <v>0.95</v>
      </c>
      <c r="M20" s="78">
        <f t="shared" si="9"/>
        <v>27094.736842105263</v>
      </c>
      <c r="N20" s="79">
        <f t="shared" si="10"/>
        <v>0.91309246309246306</v>
      </c>
      <c r="O20" s="80">
        <f t="shared" si="0"/>
        <v>1000</v>
      </c>
      <c r="P20" s="19">
        <v>2990</v>
      </c>
      <c r="Q20" s="19">
        <v>399</v>
      </c>
      <c r="R20" s="81">
        <f t="shared" si="1"/>
        <v>3389</v>
      </c>
      <c r="S20" s="82">
        <f t="shared" si="11"/>
        <v>5.6093793103448277</v>
      </c>
      <c r="T20" s="83" t="s">
        <v>154</v>
      </c>
      <c r="U20" s="83" t="s">
        <v>153</v>
      </c>
      <c r="V20" s="83" t="s">
        <v>153</v>
      </c>
      <c r="W20" s="113">
        <f t="shared" si="2"/>
        <v>30</v>
      </c>
      <c r="X20" s="74" t="s">
        <v>119</v>
      </c>
      <c r="AA20" s="75" t="s">
        <v>104</v>
      </c>
      <c r="AB20" s="44">
        <v>0</v>
      </c>
    </row>
    <row r="21" spans="1:28" ht="14.4">
      <c r="A21" s="15">
        <f t="shared" si="8"/>
        <v>8</v>
      </c>
      <c r="B21" s="15">
        <v>13127</v>
      </c>
      <c r="C21" s="16">
        <v>2015</v>
      </c>
      <c r="D21" s="75" t="s">
        <v>17</v>
      </c>
      <c r="E21" s="16" t="s">
        <v>158</v>
      </c>
      <c r="F21" s="17">
        <v>168</v>
      </c>
      <c r="G21" s="75" t="s">
        <v>103</v>
      </c>
      <c r="H21" s="75" t="s">
        <v>104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Yes</v>
      </c>
      <c r="J21" s="37">
        <v>37240</v>
      </c>
      <c r="K21" s="37">
        <v>37100</v>
      </c>
      <c r="L21" s="35">
        <v>0.97</v>
      </c>
      <c r="M21" s="78">
        <f t="shared" si="9"/>
        <v>38391.752577319588</v>
      </c>
      <c r="N21" s="79">
        <f t="shared" si="10"/>
        <v>0.96635338345864663</v>
      </c>
      <c r="O21" s="80">
        <f t="shared" si="0"/>
        <v>140</v>
      </c>
      <c r="P21" s="19">
        <v>1800</v>
      </c>
      <c r="Q21" s="19">
        <v>1799</v>
      </c>
      <c r="R21" s="81">
        <f t="shared" si="1"/>
        <v>3599</v>
      </c>
      <c r="S21" s="82">
        <f t="shared" si="11"/>
        <v>0.21847430190206393</v>
      </c>
      <c r="T21" s="83" t="s">
        <v>153</v>
      </c>
      <c r="U21" s="83" t="s">
        <v>153</v>
      </c>
      <c r="V21" s="83" t="s">
        <v>153</v>
      </c>
      <c r="W21" s="113">
        <f t="shared" si="2"/>
        <v>91</v>
      </c>
      <c r="X21" s="74" t="s">
        <v>120</v>
      </c>
      <c r="AA21" s="75" t="s">
        <v>108</v>
      </c>
      <c r="AB21" s="44">
        <v>0</v>
      </c>
    </row>
    <row r="22" spans="1:28" ht="14.4">
      <c r="A22" s="15">
        <f t="shared" si="8"/>
        <v>9</v>
      </c>
      <c r="B22" s="15">
        <v>13262</v>
      </c>
      <c r="C22" s="16">
        <v>2020</v>
      </c>
      <c r="D22" s="75" t="s">
        <v>23</v>
      </c>
      <c r="E22" s="16" t="s">
        <v>161</v>
      </c>
      <c r="F22" s="17">
        <v>5</v>
      </c>
      <c r="G22" s="75" t="s">
        <v>103</v>
      </c>
      <c r="H22" s="75" t="s">
        <v>104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Yes</v>
      </c>
      <c r="J22" s="37">
        <v>71880</v>
      </c>
      <c r="K22" s="37">
        <v>69000</v>
      </c>
      <c r="L22" s="35">
        <v>0.98</v>
      </c>
      <c r="M22" s="78">
        <f t="shared" si="9"/>
        <v>73346.938775510207</v>
      </c>
      <c r="N22" s="79">
        <f t="shared" si="10"/>
        <v>0.94073455759599334</v>
      </c>
      <c r="O22" s="80">
        <f t="shared" si="0"/>
        <v>2880</v>
      </c>
      <c r="P22" s="19">
        <v>4500</v>
      </c>
      <c r="Q22" s="19">
        <v>399</v>
      </c>
      <c r="R22" s="81">
        <f t="shared" si="1"/>
        <v>4899</v>
      </c>
      <c r="S22" s="82">
        <f t="shared" si="11"/>
        <v>5.4686511627906977</v>
      </c>
      <c r="T22" s="83" t="s">
        <v>153</v>
      </c>
      <c r="U22" s="83" t="s">
        <v>153</v>
      </c>
      <c r="V22" s="83" t="s">
        <v>153</v>
      </c>
      <c r="W22" s="113">
        <f t="shared" si="2"/>
        <v>30</v>
      </c>
      <c r="AA22" s="75" t="s">
        <v>108</v>
      </c>
      <c r="AB22" s="44">
        <v>1000</v>
      </c>
    </row>
    <row r="23" spans="1:28" ht="14.4">
      <c r="A23" s="15">
        <f t="shared" si="8"/>
        <v>10</v>
      </c>
      <c r="B23" s="15">
        <v>12201</v>
      </c>
      <c r="C23" s="16">
        <v>2020</v>
      </c>
      <c r="D23" s="75" t="s">
        <v>17</v>
      </c>
      <c r="E23" s="16" t="s">
        <v>158</v>
      </c>
      <c r="F23" s="17">
        <v>4</v>
      </c>
      <c r="G23" s="75" t="s">
        <v>103</v>
      </c>
      <c r="H23" s="75" t="s">
        <v>108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74290</v>
      </c>
      <c r="K23" s="37">
        <v>72000</v>
      </c>
      <c r="L23" s="35">
        <v>0.95</v>
      </c>
      <c r="M23" s="78">
        <f t="shared" si="9"/>
        <v>78200</v>
      </c>
      <c r="N23" s="79">
        <f t="shared" si="10"/>
        <v>0.92071611253196928</v>
      </c>
      <c r="O23" s="80">
        <f t="shared" si="0"/>
        <v>2290</v>
      </c>
      <c r="P23" s="19">
        <v>4000</v>
      </c>
      <c r="Q23" s="19">
        <v>1846</v>
      </c>
      <c r="R23" s="81">
        <f t="shared" si="1"/>
        <v>5846</v>
      </c>
      <c r="S23" s="82">
        <f t="shared" si="11"/>
        <v>7.7373529411764705</v>
      </c>
      <c r="T23" s="83" t="s">
        <v>153</v>
      </c>
      <c r="U23" s="83" t="s">
        <v>153</v>
      </c>
      <c r="V23" s="83" t="s">
        <v>153</v>
      </c>
      <c r="W23" s="113">
        <f t="shared" si="2"/>
        <v>30</v>
      </c>
      <c r="AA23" s="75" t="s">
        <v>104</v>
      </c>
      <c r="AB23" s="44">
        <v>0</v>
      </c>
    </row>
    <row r="24" spans="1:28" ht="14.4">
      <c r="A24" s="15">
        <f t="shared" si="8"/>
        <v>11</v>
      </c>
      <c r="B24" s="15">
        <v>12838</v>
      </c>
      <c r="C24" s="16">
        <v>2022</v>
      </c>
      <c r="D24" s="75" t="s">
        <v>17</v>
      </c>
      <c r="E24" s="16" t="s">
        <v>158</v>
      </c>
      <c r="F24" s="17">
        <v>34</v>
      </c>
      <c r="G24" s="75" t="s">
        <v>103</v>
      </c>
      <c r="H24" s="75" t="s">
        <v>108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83523</v>
      </c>
      <c r="K24" s="37">
        <v>82000</v>
      </c>
      <c r="L24" s="35">
        <v>1</v>
      </c>
      <c r="M24" s="78">
        <f t="shared" si="9"/>
        <v>83523</v>
      </c>
      <c r="N24" s="79">
        <f t="shared" si="10"/>
        <v>0.98176550171808963</v>
      </c>
      <c r="O24" s="80">
        <f t="shared" si="0"/>
        <v>1523</v>
      </c>
      <c r="P24" s="19">
        <v>2271</v>
      </c>
      <c r="Q24" s="19">
        <v>399</v>
      </c>
      <c r="R24" s="81">
        <f t="shared" si="1"/>
        <v>2670</v>
      </c>
      <c r="S24" s="82">
        <f t="shared" si="11"/>
        <v>0.35458350456288323</v>
      </c>
      <c r="T24" s="83" t="s">
        <v>153</v>
      </c>
      <c r="U24" s="83" t="s">
        <v>153</v>
      </c>
      <c r="V24" s="83" t="s">
        <v>153</v>
      </c>
      <c r="W24" s="113">
        <f t="shared" si="2"/>
        <v>45</v>
      </c>
      <c r="AA24" s="75" t="s">
        <v>108</v>
      </c>
      <c r="AB24" s="44">
        <v>0</v>
      </c>
    </row>
    <row r="25" spans="1:28" ht="14.4">
      <c r="A25" s="15">
        <f t="shared" si="8"/>
        <v>12</v>
      </c>
      <c r="B25" s="15">
        <v>12651</v>
      </c>
      <c r="C25" s="16">
        <v>2020</v>
      </c>
      <c r="D25" s="75" t="s">
        <v>17</v>
      </c>
      <c r="E25" s="16" t="s">
        <v>162</v>
      </c>
      <c r="F25" s="17">
        <v>69</v>
      </c>
      <c r="G25" s="75" t="s">
        <v>103</v>
      </c>
      <c r="H25" s="75" t="s">
        <v>108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Yes</v>
      </c>
      <c r="J25" s="37">
        <v>77690</v>
      </c>
      <c r="K25" s="37">
        <v>77690</v>
      </c>
      <c r="L25" s="35">
        <v>1.04</v>
      </c>
      <c r="M25" s="78">
        <f t="shared" si="9"/>
        <v>74701.923076923078</v>
      </c>
      <c r="N25" s="79">
        <f t="shared" si="10"/>
        <v>1.04</v>
      </c>
      <c r="O25" s="80">
        <f t="shared" si="0"/>
        <v>0</v>
      </c>
      <c r="P25" s="19">
        <v>3028</v>
      </c>
      <c r="Q25" s="19">
        <v>899</v>
      </c>
      <c r="R25" s="81">
        <f t="shared" si="1"/>
        <v>3927</v>
      </c>
      <c r="S25" s="82">
        <f t="shared" si="11"/>
        <v>0.27441932512086353</v>
      </c>
      <c r="T25" s="83" t="s">
        <v>153</v>
      </c>
      <c r="U25" s="83" t="s">
        <v>153</v>
      </c>
      <c r="V25" s="83" t="s">
        <v>153</v>
      </c>
      <c r="W25" s="113">
        <f t="shared" si="2"/>
        <v>90</v>
      </c>
      <c r="AA25" s="75" t="s">
        <v>108</v>
      </c>
      <c r="AB25" s="44">
        <v>-1000</v>
      </c>
    </row>
    <row r="26" spans="1:28" ht="14.4">
      <c r="A26" s="15">
        <f t="shared" si="8"/>
        <v>13</v>
      </c>
      <c r="B26" s="15">
        <v>12676</v>
      </c>
      <c r="C26" s="16">
        <v>2020</v>
      </c>
      <c r="D26" s="75" t="s">
        <v>17</v>
      </c>
      <c r="E26" s="16" t="s">
        <v>158</v>
      </c>
      <c r="F26" s="17">
        <v>12</v>
      </c>
      <c r="G26" s="75" t="s">
        <v>103</v>
      </c>
      <c r="H26" s="75" t="s">
        <v>108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Yes</v>
      </c>
      <c r="J26" s="37">
        <v>62488</v>
      </c>
      <c r="K26" s="37">
        <v>61000</v>
      </c>
      <c r="L26" s="35">
        <v>1.03</v>
      </c>
      <c r="M26" s="78">
        <f t="shared" si="9"/>
        <v>60667.961165048539</v>
      </c>
      <c r="N26" s="79">
        <f t="shared" si="10"/>
        <v>1.0054730508257586</v>
      </c>
      <c r="O26" s="80">
        <f t="shared" si="0"/>
        <v>1488</v>
      </c>
      <c r="P26" s="19">
        <v>2787</v>
      </c>
      <c r="Q26" s="19">
        <v>399</v>
      </c>
      <c r="R26" s="81">
        <f t="shared" si="1"/>
        <v>3186</v>
      </c>
      <c r="S26" s="82">
        <f t="shared" si="11"/>
        <v>1.6419012935255011</v>
      </c>
      <c r="T26" s="83" t="s">
        <v>153</v>
      </c>
      <c r="U26" s="83" t="s">
        <v>153</v>
      </c>
      <c r="V26" s="83" t="s">
        <v>153</v>
      </c>
      <c r="W26" s="113">
        <f t="shared" si="2"/>
        <v>30</v>
      </c>
      <c r="AA26" s="75" t="s">
        <v>104</v>
      </c>
      <c r="AB26" s="44">
        <v>0</v>
      </c>
    </row>
    <row r="27" spans="1:28" ht="14.4">
      <c r="A27" s="15">
        <f t="shared" si="8"/>
        <v>14</v>
      </c>
      <c r="B27" s="15">
        <v>11967</v>
      </c>
      <c r="C27" s="16">
        <v>2019</v>
      </c>
      <c r="D27" s="75" t="s">
        <v>17</v>
      </c>
      <c r="E27" s="16" t="s">
        <v>158</v>
      </c>
      <c r="F27" s="17">
        <v>19</v>
      </c>
      <c r="G27" s="75" t="s">
        <v>103</v>
      </c>
      <c r="H27" s="75" t="s">
        <v>108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Yes</v>
      </c>
      <c r="J27" s="37">
        <v>64880</v>
      </c>
      <c r="K27" s="37">
        <v>62000</v>
      </c>
      <c r="L27" s="35">
        <v>0.98</v>
      </c>
      <c r="M27" s="78">
        <f t="shared" si="9"/>
        <v>66204.081632653062</v>
      </c>
      <c r="N27" s="79">
        <f t="shared" si="10"/>
        <v>0.93649815043156592</v>
      </c>
      <c r="O27" s="80">
        <f t="shared" si="0"/>
        <v>2880</v>
      </c>
      <c r="P27" s="19">
        <v>2338</v>
      </c>
      <c r="Q27" s="19">
        <v>399</v>
      </c>
      <c r="R27" s="81">
        <f t="shared" si="1"/>
        <v>2737</v>
      </c>
      <c r="S27" s="82">
        <f t="shared" si="11"/>
        <v>0.86921235239215999</v>
      </c>
      <c r="T27" s="83" t="s">
        <v>153</v>
      </c>
      <c r="U27" s="83" t="s">
        <v>153</v>
      </c>
      <c r="V27" s="83" t="s">
        <v>153</v>
      </c>
      <c r="W27" s="113">
        <f t="shared" si="2"/>
        <v>30</v>
      </c>
      <c r="AA27" s="75" t="s">
        <v>104</v>
      </c>
      <c r="AB27" s="44">
        <v>0</v>
      </c>
    </row>
    <row r="28" spans="1:28" ht="14.4">
      <c r="A28" s="15">
        <f t="shared" si="8"/>
        <v>15</v>
      </c>
      <c r="B28" s="15">
        <v>13200</v>
      </c>
      <c r="C28" s="16">
        <v>2014</v>
      </c>
      <c r="D28" s="75" t="s">
        <v>23</v>
      </c>
      <c r="E28" s="16" t="s">
        <v>156</v>
      </c>
      <c r="F28" s="17">
        <v>4</v>
      </c>
      <c r="G28" s="75" t="s">
        <v>110</v>
      </c>
      <c r="H28" s="75" t="s">
        <v>104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49890</v>
      </c>
      <c r="K28" s="37">
        <v>49500</v>
      </c>
      <c r="L28" s="35">
        <v>1.07</v>
      </c>
      <c r="M28" s="78">
        <f t="shared" si="9"/>
        <v>46626.168224299065</v>
      </c>
      <c r="N28" s="79">
        <f t="shared" si="10"/>
        <v>1.0616355983162959</v>
      </c>
      <c r="O28" s="80">
        <f t="shared" si="0"/>
        <v>390</v>
      </c>
      <c r="P28" s="19">
        <v>2809</v>
      </c>
      <c r="Q28" s="19">
        <v>399</v>
      </c>
      <c r="R28" s="81">
        <f t="shared" si="1"/>
        <v>3208</v>
      </c>
      <c r="S28" s="82">
        <f t="shared" si="11"/>
        <v>6.1836328200295565</v>
      </c>
      <c r="T28" s="83" t="s">
        <v>154</v>
      </c>
      <c r="U28" s="83" t="s">
        <v>153</v>
      </c>
      <c r="V28" s="83" t="s">
        <v>153</v>
      </c>
      <c r="W28" s="113">
        <f t="shared" si="2"/>
        <v>30</v>
      </c>
      <c r="AA28" s="75" t="s">
        <v>104</v>
      </c>
      <c r="AB28" s="44">
        <v>0</v>
      </c>
    </row>
    <row r="29" spans="1:28" ht="14.4">
      <c r="A29" s="15">
        <f t="shared" si="8"/>
        <v>16</v>
      </c>
      <c r="B29" s="15">
        <v>12834</v>
      </c>
      <c r="C29" s="16">
        <v>2022</v>
      </c>
      <c r="D29" s="75" t="s">
        <v>17</v>
      </c>
      <c r="E29" s="16" t="s">
        <v>158</v>
      </c>
      <c r="F29" s="17">
        <v>11</v>
      </c>
      <c r="G29" s="75" t="s">
        <v>103</v>
      </c>
      <c r="H29" s="75" t="s">
        <v>108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86098</v>
      </c>
      <c r="K29" s="37">
        <v>86000</v>
      </c>
      <c r="L29" s="35">
        <v>1.03</v>
      </c>
      <c r="M29" s="78">
        <f t="shared" si="9"/>
        <v>83590.291262135914</v>
      </c>
      <c r="N29" s="79">
        <f t="shared" si="10"/>
        <v>1.0288276150433229</v>
      </c>
      <c r="O29" s="80">
        <f t="shared" si="0"/>
        <v>98</v>
      </c>
      <c r="P29" s="19">
        <v>5158</v>
      </c>
      <c r="Q29" s="19">
        <v>3032</v>
      </c>
      <c r="R29" s="81">
        <f t="shared" si="1"/>
        <v>8190</v>
      </c>
      <c r="S29" s="82">
        <f t="shared" si="11"/>
        <v>3.315558294405923</v>
      </c>
      <c r="T29" s="83" t="s">
        <v>153</v>
      </c>
      <c r="U29" s="83" t="s">
        <v>153</v>
      </c>
      <c r="V29" s="83" t="s">
        <v>153</v>
      </c>
      <c r="W29" s="113">
        <f t="shared" si="2"/>
        <v>30</v>
      </c>
      <c r="AA29" s="75" t="s">
        <v>108</v>
      </c>
      <c r="AB29" s="44">
        <v>-1500</v>
      </c>
    </row>
    <row r="30" spans="1:28" ht="14.4">
      <c r="A30" s="15">
        <f t="shared" si="8"/>
        <v>17</v>
      </c>
      <c r="B30" s="15">
        <v>12417</v>
      </c>
      <c r="C30" s="16">
        <v>2020</v>
      </c>
      <c r="D30" s="75" t="s">
        <v>17</v>
      </c>
      <c r="E30" s="16" t="s">
        <v>158</v>
      </c>
      <c r="F30" s="17">
        <v>14</v>
      </c>
      <c r="G30" s="75" t="s">
        <v>118</v>
      </c>
      <c r="H30" s="75" t="s">
        <v>108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Yes</v>
      </c>
      <c r="J30" s="37">
        <v>55960</v>
      </c>
      <c r="K30" s="37">
        <v>53000</v>
      </c>
      <c r="L30" s="35">
        <v>1.02</v>
      </c>
      <c r="M30" s="78">
        <f t="shared" si="9"/>
        <v>54862.745098039217</v>
      </c>
      <c r="N30" s="79">
        <f t="shared" si="10"/>
        <v>0.96604717655468186</v>
      </c>
      <c r="O30" s="80">
        <f t="shared" si="0"/>
        <v>2960</v>
      </c>
      <c r="P30" s="19">
        <v>6581</v>
      </c>
      <c r="Q30" s="19">
        <v>899</v>
      </c>
      <c r="R30" s="81">
        <f t="shared" si="1"/>
        <v>7480</v>
      </c>
      <c r="S30" s="82">
        <f t="shared" si="11"/>
        <v>4.1436234546814266</v>
      </c>
      <c r="T30" s="83" t="s">
        <v>153</v>
      </c>
      <c r="U30" s="83" t="s">
        <v>153</v>
      </c>
      <c r="V30" s="83" t="s">
        <v>153</v>
      </c>
      <c r="W30" s="113">
        <f t="shared" si="2"/>
        <v>30</v>
      </c>
      <c r="AA30" s="75" t="s">
        <v>104</v>
      </c>
      <c r="AB30" s="44">
        <v>0</v>
      </c>
    </row>
    <row r="31" spans="1:28" ht="14.4">
      <c r="A31" s="15">
        <f t="shared" si="8"/>
        <v>18</v>
      </c>
      <c r="B31" s="15">
        <v>12217</v>
      </c>
      <c r="C31" s="16">
        <v>2020</v>
      </c>
      <c r="D31" s="75" t="s">
        <v>23</v>
      </c>
      <c r="E31" s="16" t="s">
        <v>156</v>
      </c>
      <c r="F31" s="17">
        <v>93</v>
      </c>
      <c r="G31" s="75" t="s">
        <v>103</v>
      </c>
      <c r="H31" s="75" t="s">
        <v>108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57440</v>
      </c>
      <c r="K31" s="37">
        <v>56840</v>
      </c>
      <c r="L31" s="35">
        <v>1.06</v>
      </c>
      <c r="M31" s="78">
        <f t="shared" si="9"/>
        <v>54188.67924528302</v>
      </c>
      <c r="N31" s="79">
        <f t="shared" si="10"/>
        <v>1.0489275766016712</v>
      </c>
      <c r="O31" s="80">
        <f t="shared" si="0"/>
        <v>600</v>
      </c>
      <c r="P31" s="19">
        <v>2184</v>
      </c>
      <c r="Q31" s="19">
        <v>1685</v>
      </c>
      <c r="R31" s="81">
        <f t="shared" si="1"/>
        <v>3869</v>
      </c>
      <c r="S31" s="82">
        <f t="shared" si="11"/>
        <v>0.27401884868172549</v>
      </c>
      <c r="T31" s="83" t="s">
        <v>155</v>
      </c>
      <c r="U31" s="83" t="s">
        <v>153</v>
      </c>
      <c r="V31" s="83" t="s">
        <v>153</v>
      </c>
      <c r="W31" s="113">
        <f t="shared" si="2"/>
        <v>91</v>
      </c>
      <c r="AA31" s="75" t="s">
        <v>104</v>
      </c>
      <c r="AB31" s="44">
        <v>0</v>
      </c>
    </row>
    <row r="32" spans="1:28" ht="14.4">
      <c r="A32" s="15">
        <f t="shared" si="8"/>
        <v>19</v>
      </c>
      <c r="B32" s="15">
        <v>11651</v>
      </c>
      <c r="C32" s="16">
        <v>2018</v>
      </c>
      <c r="D32" s="75" t="s">
        <v>17</v>
      </c>
      <c r="E32" s="16" t="s">
        <v>163</v>
      </c>
      <c r="F32" s="17">
        <v>19</v>
      </c>
      <c r="G32" s="75" t="s">
        <v>103</v>
      </c>
      <c r="H32" s="75" t="s">
        <v>108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25780</v>
      </c>
      <c r="K32" s="37">
        <v>24721</v>
      </c>
      <c r="L32" s="35">
        <v>1.02</v>
      </c>
      <c r="M32" s="78">
        <f t="shared" si="9"/>
        <v>25274.50980392157</v>
      </c>
      <c r="N32" s="79">
        <f t="shared" si="10"/>
        <v>0.978100077579519</v>
      </c>
      <c r="O32" s="80">
        <f t="shared" si="0"/>
        <v>1059</v>
      </c>
      <c r="P32" s="19">
        <v>4220</v>
      </c>
      <c r="Q32" s="19">
        <v>399</v>
      </c>
      <c r="R32" s="81">
        <f t="shared" si="1"/>
        <v>4619</v>
      </c>
      <c r="S32" s="82">
        <f t="shared" si="11"/>
        <v>4.2689573550969273</v>
      </c>
      <c r="T32" s="83" t="s">
        <v>153</v>
      </c>
      <c r="U32" s="83" t="s">
        <v>153</v>
      </c>
      <c r="V32" s="83" t="s">
        <v>153</v>
      </c>
      <c r="W32" s="113">
        <f t="shared" si="2"/>
        <v>30</v>
      </c>
      <c r="AA32" s="75" t="s">
        <v>108</v>
      </c>
      <c r="AB32" s="44">
        <v>-1000</v>
      </c>
    </row>
    <row r="33" spans="1:28" ht="14.4">
      <c r="A33" s="15">
        <f t="shared" si="8"/>
        <v>20</v>
      </c>
      <c r="B33" s="15"/>
      <c r="C33" s="16"/>
      <c r="D33" s="75"/>
      <c r="E33" s="16"/>
      <c r="F33" s="17"/>
      <c r="G33" s="75"/>
      <c r="H33" s="75"/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Blank</v>
      </c>
      <c r="J33" s="37"/>
      <c r="K33" s="37"/>
      <c r="L33" s="35"/>
      <c r="M33" s="78" t="e">
        <f t="shared" si="9"/>
        <v>#DIV/0!</v>
      </c>
      <c r="N33" s="79" t="e">
        <f t="shared" si="10"/>
        <v>#DIV/0!</v>
      </c>
      <c r="O33" s="80" t="str">
        <f t="shared" si="0"/>
        <v>BLANK</v>
      </c>
      <c r="P33" s="19"/>
      <c r="Q33" s="19"/>
      <c r="R33" s="81" t="str">
        <f t="shared" si="1"/>
        <v>BLANK</v>
      </c>
      <c r="S33" s="82" t="e">
        <f t="shared" si="11"/>
        <v>#VALUE!</v>
      </c>
      <c r="T33" s="83"/>
      <c r="U33" s="83"/>
      <c r="V33" s="83"/>
      <c r="W33" s="113">
        <f t="shared" si="2"/>
        <v>0</v>
      </c>
      <c r="AA33" s="75"/>
      <c r="AB33" s="44"/>
    </row>
    <row r="34" spans="1:28" ht="14.4">
      <c r="A34" s="15">
        <f t="shared" si="8"/>
        <v>21</v>
      </c>
      <c r="B34" s="15"/>
      <c r="C34" s="16"/>
      <c r="D34" s="75"/>
      <c r="E34" s="16"/>
      <c r="F34" s="17"/>
      <c r="G34" s="75"/>
      <c r="H34" s="75"/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Blank</v>
      </c>
      <c r="J34" s="37"/>
      <c r="K34" s="37"/>
      <c r="L34" s="35"/>
      <c r="M34" s="78" t="e">
        <f t="shared" si="9"/>
        <v>#DIV/0!</v>
      </c>
      <c r="N34" s="79" t="e">
        <f t="shared" si="10"/>
        <v>#DIV/0!</v>
      </c>
      <c r="O34" s="80" t="str">
        <f t="shared" si="0"/>
        <v>BLANK</v>
      </c>
      <c r="P34" s="19"/>
      <c r="Q34" s="19"/>
      <c r="R34" s="81" t="str">
        <f t="shared" si="1"/>
        <v>BLANK</v>
      </c>
      <c r="S34" s="82" t="e">
        <f t="shared" si="11"/>
        <v>#VALUE!</v>
      </c>
      <c r="T34" s="83"/>
      <c r="U34" s="83"/>
      <c r="V34" s="83"/>
      <c r="W34" s="113">
        <f t="shared" si="2"/>
        <v>0</v>
      </c>
      <c r="AA34" s="75"/>
      <c r="AB34" s="44"/>
    </row>
    <row r="35" spans="1:28" ht="14.4">
      <c r="A35" s="15">
        <f t="shared" si="8"/>
        <v>22</v>
      </c>
      <c r="B35" s="15"/>
      <c r="C35" s="16"/>
      <c r="D35" s="75"/>
      <c r="E35" s="16"/>
      <c r="F35" s="17"/>
      <c r="G35" s="75"/>
      <c r="H35" s="75"/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Blank</v>
      </c>
      <c r="J35" s="37"/>
      <c r="K35" s="37"/>
      <c r="L35" s="35"/>
      <c r="M35" s="78" t="e">
        <f t="shared" si="9"/>
        <v>#DIV/0!</v>
      </c>
      <c r="N35" s="79" t="e">
        <f t="shared" si="10"/>
        <v>#DIV/0!</v>
      </c>
      <c r="O35" s="80" t="str">
        <f t="shared" si="0"/>
        <v>BLANK</v>
      </c>
      <c r="P35" s="19"/>
      <c r="Q35" s="19"/>
      <c r="R35" s="81" t="str">
        <f t="shared" si="1"/>
        <v>BLANK</v>
      </c>
      <c r="S35" s="82" t="e">
        <f t="shared" si="11"/>
        <v>#VALUE!</v>
      </c>
      <c r="T35" s="83"/>
      <c r="U35" s="83"/>
      <c r="V35" s="83"/>
      <c r="W35" s="113">
        <f t="shared" si="2"/>
        <v>0</v>
      </c>
      <c r="AA35" s="75"/>
      <c r="AB35" s="44"/>
    </row>
    <row r="36" spans="1:28" ht="14.4">
      <c r="A36" s="15">
        <f t="shared" si="8"/>
        <v>23</v>
      </c>
      <c r="B36" s="15"/>
      <c r="C36" s="16"/>
      <c r="D36" s="75"/>
      <c r="E36" s="16"/>
      <c r="F36" s="17"/>
      <c r="G36" s="75"/>
      <c r="H36" s="75"/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Blank</v>
      </c>
      <c r="J36" s="37"/>
      <c r="K36" s="37"/>
      <c r="L36" s="35"/>
      <c r="M36" s="78" t="e">
        <f t="shared" si="9"/>
        <v>#DIV/0!</v>
      </c>
      <c r="N36" s="79" t="e">
        <f t="shared" si="10"/>
        <v>#DIV/0!</v>
      </c>
      <c r="O36" s="80" t="str">
        <f t="shared" si="0"/>
        <v>BLANK</v>
      </c>
      <c r="P36" s="19"/>
      <c r="Q36" s="19"/>
      <c r="R36" s="81" t="str">
        <f t="shared" si="1"/>
        <v>BLANK</v>
      </c>
      <c r="S36" s="82" t="e">
        <f t="shared" si="11"/>
        <v>#VALUE!</v>
      </c>
      <c r="T36" s="83"/>
      <c r="U36" s="83"/>
      <c r="V36" s="83"/>
      <c r="W36" s="113">
        <f t="shared" si="2"/>
        <v>0</v>
      </c>
      <c r="AA36" s="75"/>
      <c r="AB36" s="44"/>
    </row>
    <row r="37" spans="1:28" ht="14.4">
      <c r="A37" s="15">
        <f t="shared" si="8"/>
        <v>24</v>
      </c>
      <c r="B37" s="15"/>
      <c r="C37" s="16"/>
      <c r="D37" s="75"/>
      <c r="E37" s="16"/>
      <c r="F37" s="17"/>
      <c r="G37" s="75"/>
      <c r="H37" s="75"/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Blank</v>
      </c>
      <c r="J37" s="37"/>
      <c r="K37" s="37"/>
      <c r="L37" s="35"/>
      <c r="M37" s="78" t="e">
        <f t="shared" si="9"/>
        <v>#DIV/0!</v>
      </c>
      <c r="N37" s="79" t="e">
        <f t="shared" si="10"/>
        <v>#DIV/0!</v>
      </c>
      <c r="O37" s="80" t="str">
        <f t="shared" si="0"/>
        <v>BLANK</v>
      </c>
      <c r="P37" s="19"/>
      <c r="Q37" s="19"/>
      <c r="R37" s="81" t="str">
        <f t="shared" si="1"/>
        <v>BLANK</v>
      </c>
      <c r="S37" s="82" t="e">
        <f t="shared" si="11"/>
        <v>#VALUE!</v>
      </c>
      <c r="T37" s="83"/>
      <c r="U37" s="83"/>
      <c r="V37" s="83"/>
      <c r="W37" s="113">
        <f t="shared" si="2"/>
        <v>0</v>
      </c>
      <c r="AA37" s="75"/>
      <c r="AB37" s="44"/>
    </row>
    <row r="38" spans="1:28" ht="14.4">
      <c r="A38" s="15">
        <f t="shared" si="8"/>
        <v>25</v>
      </c>
      <c r="B38" s="15"/>
      <c r="C38" s="16"/>
      <c r="D38" s="75"/>
      <c r="E38" s="16"/>
      <c r="F38" s="17"/>
      <c r="G38" s="75"/>
      <c r="H38" s="75"/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Blank</v>
      </c>
      <c r="J38" s="37"/>
      <c r="K38" s="37"/>
      <c r="L38" s="35"/>
      <c r="M38" s="78" t="e">
        <f t="shared" si="9"/>
        <v>#DIV/0!</v>
      </c>
      <c r="N38" s="79" t="e">
        <f t="shared" si="10"/>
        <v>#DIV/0!</v>
      </c>
      <c r="O38" s="80" t="str">
        <f t="shared" si="0"/>
        <v>BLANK</v>
      </c>
      <c r="P38" s="19"/>
      <c r="Q38" s="19"/>
      <c r="R38" s="81" t="str">
        <f t="shared" si="1"/>
        <v>BLANK</v>
      </c>
      <c r="S38" s="82" t="e">
        <f t="shared" si="11"/>
        <v>#VALUE!</v>
      </c>
      <c r="T38" s="83"/>
      <c r="U38" s="83"/>
      <c r="V38" s="83"/>
      <c r="W38" s="113">
        <f t="shared" si="2"/>
        <v>0</v>
      </c>
      <c r="AA38" s="75"/>
      <c r="AB38" s="44"/>
    </row>
    <row r="39" spans="1:28" ht="14.4">
      <c r="A39" s="15">
        <f t="shared" si="8"/>
        <v>26</v>
      </c>
      <c r="B39" s="15"/>
      <c r="C39" s="16"/>
      <c r="D39" s="75"/>
      <c r="E39" s="16"/>
      <c r="F39" s="17"/>
      <c r="G39" s="75"/>
      <c r="H39" s="75"/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Blank</v>
      </c>
      <c r="J39" s="37"/>
      <c r="K39" s="37"/>
      <c r="L39" s="35"/>
      <c r="M39" s="78" t="e">
        <f t="shared" si="9"/>
        <v>#DIV/0!</v>
      </c>
      <c r="N39" s="79" t="e">
        <f t="shared" si="10"/>
        <v>#DIV/0!</v>
      </c>
      <c r="O39" s="80" t="str">
        <f t="shared" si="0"/>
        <v>BLANK</v>
      </c>
      <c r="P39" s="19"/>
      <c r="Q39" s="19"/>
      <c r="R39" s="81" t="str">
        <f t="shared" si="1"/>
        <v>BLANK</v>
      </c>
      <c r="S39" s="82" t="e">
        <f t="shared" si="11"/>
        <v>#VALUE!</v>
      </c>
      <c r="T39" s="83"/>
      <c r="U39" s="83"/>
      <c r="V39" s="83"/>
      <c r="W39" s="113">
        <f t="shared" si="2"/>
        <v>0</v>
      </c>
      <c r="AA39" s="75"/>
      <c r="AB39" s="44"/>
    </row>
    <row r="40" spans="1:28" ht="14.4">
      <c r="A40" s="15">
        <f t="shared" si="8"/>
        <v>27</v>
      </c>
      <c r="B40" s="15"/>
      <c r="C40" s="16"/>
      <c r="D40" s="75"/>
      <c r="E40" s="16"/>
      <c r="F40" s="17"/>
      <c r="G40" s="75"/>
      <c r="H40" s="75"/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Blank</v>
      </c>
      <c r="J40" s="37"/>
      <c r="K40" s="37"/>
      <c r="L40" s="35"/>
      <c r="M40" s="78" t="e">
        <f t="shared" si="9"/>
        <v>#DIV/0!</v>
      </c>
      <c r="N40" s="79" t="e">
        <f t="shared" si="10"/>
        <v>#DIV/0!</v>
      </c>
      <c r="O40" s="80" t="str">
        <f t="shared" si="0"/>
        <v>BLANK</v>
      </c>
      <c r="P40" s="19"/>
      <c r="Q40" s="19"/>
      <c r="R40" s="81" t="str">
        <f t="shared" si="1"/>
        <v>BLANK</v>
      </c>
      <c r="S40" s="82" t="e">
        <f t="shared" si="11"/>
        <v>#VALUE!</v>
      </c>
      <c r="T40" s="83"/>
      <c r="U40" s="83"/>
      <c r="V40" s="83"/>
      <c r="W40" s="113">
        <f t="shared" si="2"/>
        <v>0</v>
      </c>
      <c r="AA40" s="75"/>
      <c r="AB40" s="44"/>
    </row>
    <row r="41" spans="1:28" ht="14.4">
      <c r="A41" s="15">
        <f t="shared" si="8"/>
        <v>28</v>
      </c>
      <c r="B41" s="15"/>
      <c r="C41" s="16"/>
      <c r="D41" s="75"/>
      <c r="E41" s="16"/>
      <c r="F41" s="17"/>
      <c r="G41" s="75"/>
      <c r="H41" s="75"/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Blank</v>
      </c>
      <c r="J41" s="37"/>
      <c r="K41" s="37"/>
      <c r="L41" s="35"/>
      <c r="M41" s="78" t="e">
        <f t="shared" si="9"/>
        <v>#DIV/0!</v>
      </c>
      <c r="N41" s="79" t="e">
        <f t="shared" si="10"/>
        <v>#DIV/0!</v>
      </c>
      <c r="O41" s="80" t="str">
        <f t="shared" si="0"/>
        <v>BLANK</v>
      </c>
      <c r="P41" s="19"/>
      <c r="Q41" s="19"/>
      <c r="R41" s="81" t="str">
        <f t="shared" si="1"/>
        <v>BLANK</v>
      </c>
      <c r="S41" s="82" t="e">
        <f t="shared" si="11"/>
        <v>#VALUE!</v>
      </c>
      <c r="T41" s="83"/>
      <c r="U41" s="83"/>
      <c r="V41" s="83"/>
      <c r="W41" s="113">
        <f t="shared" si="2"/>
        <v>0</v>
      </c>
      <c r="AA41" s="75"/>
      <c r="AB41" s="44"/>
    </row>
    <row r="42" spans="1:28" ht="14.4">
      <c r="A42" s="15">
        <f t="shared" si="8"/>
        <v>29</v>
      </c>
      <c r="B42" s="15"/>
      <c r="C42" s="16"/>
      <c r="D42" s="75"/>
      <c r="E42" s="16"/>
      <c r="F42" s="17"/>
      <c r="G42" s="75"/>
      <c r="H42" s="75"/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Blank</v>
      </c>
      <c r="J42" s="37"/>
      <c r="K42" s="37"/>
      <c r="L42" s="35"/>
      <c r="M42" s="78" t="e">
        <f t="shared" si="9"/>
        <v>#DIV/0!</v>
      </c>
      <c r="N42" s="79" t="e">
        <f t="shared" si="10"/>
        <v>#DIV/0!</v>
      </c>
      <c r="O42" s="80" t="str">
        <f t="shared" si="0"/>
        <v>BLANK</v>
      </c>
      <c r="P42" s="19"/>
      <c r="Q42" s="19"/>
      <c r="R42" s="81" t="str">
        <f t="shared" si="1"/>
        <v>BLANK</v>
      </c>
      <c r="S42" s="82" t="e">
        <f t="shared" si="11"/>
        <v>#VALUE!</v>
      </c>
      <c r="T42" s="83"/>
      <c r="U42" s="83"/>
      <c r="V42" s="83"/>
      <c r="W42" s="113">
        <f t="shared" si="2"/>
        <v>0</v>
      </c>
      <c r="AA42" s="75"/>
      <c r="AB42" s="44"/>
    </row>
    <row r="43" spans="1:28" ht="14.4">
      <c r="A43" s="15">
        <f t="shared" si="8"/>
        <v>30</v>
      </c>
      <c r="B43" s="15"/>
      <c r="C43" s="16"/>
      <c r="D43" s="75"/>
      <c r="E43" s="16"/>
      <c r="F43" s="17"/>
      <c r="G43" s="75"/>
      <c r="H43" s="75"/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Blank</v>
      </c>
      <c r="J43" s="37"/>
      <c r="K43" s="37"/>
      <c r="L43" s="35"/>
      <c r="M43" s="78" t="e">
        <f t="shared" si="9"/>
        <v>#DIV/0!</v>
      </c>
      <c r="N43" s="79" t="e">
        <f t="shared" si="10"/>
        <v>#DIV/0!</v>
      </c>
      <c r="O43" s="80" t="str">
        <f t="shared" si="0"/>
        <v>BLANK</v>
      </c>
      <c r="P43" s="19"/>
      <c r="Q43" s="19"/>
      <c r="R43" s="81" t="str">
        <f t="shared" si="1"/>
        <v>BLANK</v>
      </c>
      <c r="S43" s="82" t="e">
        <f t="shared" si="11"/>
        <v>#VALUE!</v>
      </c>
      <c r="T43" s="83"/>
      <c r="U43" s="83"/>
      <c r="V43" s="83"/>
      <c r="W43" s="113">
        <f t="shared" si="2"/>
        <v>0</v>
      </c>
      <c r="AA43" s="75"/>
      <c r="AB43" s="44"/>
    </row>
    <row r="44" spans="1:28" ht="14.4">
      <c r="A44" s="15">
        <f t="shared" si="8"/>
        <v>31</v>
      </c>
      <c r="B44" s="15"/>
      <c r="C44" s="16"/>
      <c r="D44" s="75"/>
      <c r="E44" s="16"/>
      <c r="F44" s="17"/>
      <c r="G44" s="75"/>
      <c r="H44" s="75"/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Blank</v>
      </c>
      <c r="J44" s="37"/>
      <c r="K44" s="37"/>
      <c r="L44" s="35"/>
      <c r="M44" s="78" t="e">
        <f t="shared" si="9"/>
        <v>#DIV/0!</v>
      </c>
      <c r="N44" s="79" t="e">
        <f t="shared" si="10"/>
        <v>#DIV/0!</v>
      </c>
      <c r="O44" s="80" t="str">
        <f t="shared" si="0"/>
        <v>BLANK</v>
      </c>
      <c r="P44" s="19"/>
      <c r="Q44" s="19"/>
      <c r="R44" s="81" t="str">
        <f t="shared" si="1"/>
        <v>BLANK</v>
      </c>
      <c r="S44" s="82" t="e">
        <f t="shared" si="11"/>
        <v>#VALUE!</v>
      </c>
      <c r="T44" s="83"/>
      <c r="U44" s="83"/>
      <c r="V44" s="83"/>
      <c r="W44" s="113">
        <f t="shared" si="2"/>
        <v>0</v>
      </c>
      <c r="AA44" s="75"/>
      <c r="AB44" s="44"/>
    </row>
    <row r="45" spans="1:28" ht="14.4">
      <c r="A45" s="15">
        <f t="shared" si="8"/>
        <v>32</v>
      </c>
      <c r="B45" s="15"/>
      <c r="C45" s="16"/>
      <c r="D45" s="75"/>
      <c r="E45" s="16"/>
      <c r="F45" s="17"/>
      <c r="G45" s="75"/>
      <c r="H45" s="75"/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Blank</v>
      </c>
      <c r="J45" s="37"/>
      <c r="K45" s="37"/>
      <c r="L45" s="35"/>
      <c r="M45" s="78" t="e">
        <f t="shared" si="9"/>
        <v>#DIV/0!</v>
      </c>
      <c r="N45" s="79" t="e">
        <f t="shared" si="10"/>
        <v>#DIV/0!</v>
      </c>
      <c r="O45" s="80" t="str">
        <f t="shared" si="0"/>
        <v>BLANK</v>
      </c>
      <c r="P45" s="19"/>
      <c r="Q45" s="19"/>
      <c r="R45" s="81" t="str">
        <f t="shared" si="1"/>
        <v>BLANK</v>
      </c>
      <c r="S45" s="82" t="e">
        <f t="shared" si="11"/>
        <v>#VALUE!</v>
      </c>
      <c r="T45" s="83"/>
      <c r="U45" s="83"/>
      <c r="V45" s="83"/>
      <c r="W45" s="113">
        <f t="shared" ref="W45:W76" si="12">IF(AND(F45&gt;0,F45&lt;=30),30,IF(AND(F45&gt;=31,F45&lt;=45),45,IF(AND(F45&gt;=46,F45&lt;=60),60,IF(AND(F45&gt;=61,F45&lt;=90),90,IF(F45&gt;=91,91,0)))))</f>
        <v>0</v>
      </c>
      <c r="AA45" s="75"/>
      <c r="AB45" s="44"/>
    </row>
    <row r="46" spans="1:28" ht="14.4">
      <c r="A46" s="15">
        <f t="shared" si="8"/>
        <v>33</v>
      </c>
      <c r="B46" s="15"/>
      <c r="C46" s="16"/>
      <c r="D46" s="75"/>
      <c r="E46" s="16"/>
      <c r="F46" s="17"/>
      <c r="G46" s="75"/>
      <c r="H46" s="75"/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Blank</v>
      </c>
      <c r="J46" s="37"/>
      <c r="K46" s="37"/>
      <c r="L46" s="35"/>
      <c r="M46" s="78" t="e">
        <f t="shared" si="9"/>
        <v>#DIV/0!</v>
      </c>
      <c r="N46" s="79" t="e">
        <f t="shared" si="10"/>
        <v>#DIV/0!</v>
      </c>
      <c r="O46" s="80" t="str">
        <f t="shared" si="0"/>
        <v>BLANK</v>
      </c>
      <c r="P46" s="19"/>
      <c r="Q46" s="19"/>
      <c r="R46" s="81" t="str">
        <f t="shared" si="1"/>
        <v>BLANK</v>
      </c>
      <c r="S46" s="82" t="e">
        <f t="shared" si="11"/>
        <v>#VALUE!</v>
      </c>
      <c r="T46" s="83"/>
      <c r="U46" s="83"/>
      <c r="V46" s="83"/>
      <c r="W46" s="113">
        <f t="shared" si="12"/>
        <v>0</v>
      </c>
      <c r="AA46" s="75"/>
      <c r="AB46" s="44"/>
    </row>
    <row r="47" spans="1:28" ht="14.4">
      <c r="A47" s="15">
        <f t="shared" si="8"/>
        <v>34</v>
      </c>
      <c r="B47" s="15"/>
      <c r="C47" s="16"/>
      <c r="D47" s="75"/>
      <c r="E47" s="16"/>
      <c r="F47" s="17"/>
      <c r="G47" s="75"/>
      <c r="H47" s="75"/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Blank</v>
      </c>
      <c r="J47" s="37"/>
      <c r="K47" s="37"/>
      <c r="L47" s="35"/>
      <c r="M47" s="78" t="e">
        <f t="shared" si="9"/>
        <v>#DIV/0!</v>
      </c>
      <c r="N47" s="79" t="e">
        <f t="shared" si="10"/>
        <v>#DIV/0!</v>
      </c>
      <c r="O47" s="80" t="str">
        <f t="shared" si="0"/>
        <v>BLANK</v>
      </c>
      <c r="P47" s="19"/>
      <c r="Q47" s="19"/>
      <c r="R47" s="81" t="str">
        <f t="shared" si="1"/>
        <v>BLANK</v>
      </c>
      <c r="S47" s="82" t="e">
        <f t="shared" si="11"/>
        <v>#VALUE!</v>
      </c>
      <c r="T47" s="83"/>
      <c r="U47" s="83"/>
      <c r="V47" s="83"/>
      <c r="W47" s="113">
        <f t="shared" si="12"/>
        <v>0</v>
      </c>
      <c r="AA47" s="75"/>
      <c r="AB47" s="44"/>
    </row>
    <row r="48" spans="1:28" ht="14.4">
      <c r="A48" s="15">
        <f t="shared" si="8"/>
        <v>35</v>
      </c>
      <c r="B48" s="15"/>
      <c r="C48" s="16"/>
      <c r="D48" s="75"/>
      <c r="E48" s="16"/>
      <c r="F48" s="17"/>
      <c r="G48" s="75"/>
      <c r="H48" s="75"/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Blank</v>
      </c>
      <c r="J48" s="37"/>
      <c r="K48" s="37"/>
      <c r="L48" s="35"/>
      <c r="M48" s="78" t="e">
        <f t="shared" si="9"/>
        <v>#DIV/0!</v>
      </c>
      <c r="N48" s="79" t="e">
        <f t="shared" si="10"/>
        <v>#DIV/0!</v>
      </c>
      <c r="O48" s="80" t="str">
        <f t="shared" si="0"/>
        <v>BLANK</v>
      </c>
      <c r="P48" s="19"/>
      <c r="Q48" s="19"/>
      <c r="R48" s="81" t="str">
        <f t="shared" si="1"/>
        <v>BLANK</v>
      </c>
      <c r="S48" s="82" t="e">
        <f t="shared" si="11"/>
        <v>#VALUE!</v>
      </c>
      <c r="T48" s="83"/>
      <c r="U48" s="83"/>
      <c r="V48" s="83"/>
      <c r="W48" s="113">
        <f t="shared" si="12"/>
        <v>0</v>
      </c>
      <c r="AA48" s="75"/>
      <c r="AB48" s="44"/>
    </row>
    <row r="49" spans="1:28" ht="14.4">
      <c r="A49" s="15">
        <f t="shared" si="8"/>
        <v>36</v>
      </c>
      <c r="B49" s="15"/>
      <c r="C49" s="16"/>
      <c r="D49" s="75"/>
      <c r="E49" s="16"/>
      <c r="F49" s="17"/>
      <c r="G49" s="75"/>
      <c r="H49" s="75"/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Blank</v>
      </c>
      <c r="J49" s="37"/>
      <c r="K49" s="37"/>
      <c r="L49" s="35"/>
      <c r="M49" s="78" t="e">
        <f t="shared" si="9"/>
        <v>#DIV/0!</v>
      </c>
      <c r="N49" s="79" t="e">
        <f t="shared" si="10"/>
        <v>#DIV/0!</v>
      </c>
      <c r="O49" s="80" t="str">
        <f t="shared" si="0"/>
        <v>BLANK</v>
      </c>
      <c r="P49" s="19"/>
      <c r="Q49" s="19"/>
      <c r="R49" s="81" t="str">
        <f t="shared" si="1"/>
        <v>BLANK</v>
      </c>
      <c r="S49" s="82" t="e">
        <f t="shared" si="11"/>
        <v>#VALUE!</v>
      </c>
      <c r="T49" s="83"/>
      <c r="U49" s="83"/>
      <c r="V49" s="83"/>
      <c r="W49" s="113">
        <f t="shared" si="12"/>
        <v>0</v>
      </c>
      <c r="AA49" s="75"/>
      <c r="AB49" s="44"/>
    </row>
    <row r="50" spans="1:28" ht="14.4">
      <c r="A50" s="15">
        <f t="shared" si="8"/>
        <v>37</v>
      </c>
      <c r="B50" s="15"/>
      <c r="C50" s="16"/>
      <c r="D50" s="75"/>
      <c r="E50" s="16"/>
      <c r="F50" s="17"/>
      <c r="G50" s="75"/>
      <c r="H50" s="75"/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Blank</v>
      </c>
      <c r="J50" s="37"/>
      <c r="K50" s="37"/>
      <c r="L50" s="35"/>
      <c r="M50" s="78" t="e">
        <f t="shared" si="9"/>
        <v>#DIV/0!</v>
      </c>
      <c r="N50" s="79" t="e">
        <f t="shared" si="10"/>
        <v>#DIV/0!</v>
      </c>
      <c r="O50" s="80" t="str">
        <f t="shared" si="0"/>
        <v>BLANK</v>
      </c>
      <c r="P50" s="19"/>
      <c r="Q50" s="19"/>
      <c r="R50" s="81" t="str">
        <f t="shared" si="1"/>
        <v>BLANK</v>
      </c>
      <c r="S50" s="82" t="e">
        <f t="shared" si="11"/>
        <v>#VALUE!</v>
      </c>
      <c r="T50" s="83"/>
      <c r="U50" s="83"/>
      <c r="V50" s="83"/>
      <c r="W50" s="113">
        <f t="shared" si="12"/>
        <v>0</v>
      </c>
      <c r="AA50" s="75"/>
      <c r="AB50" s="44"/>
    </row>
    <row r="51" spans="1:28" ht="14.4">
      <c r="A51" s="15">
        <f t="shared" si="8"/>
        <v>38</v>
      </c>
      <c r="B51" s="15"/>
      <c r="C51" s="16"/>
      <c r="D51" s="75"/>
      <c r="E51" s="16"/>
      <c r="F51" s="17"/>
      <c r="G51" s="75"/>
      <c r="H51" s="75"/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Blank</v>
      </c>
      <c r="J51" s="37"/>
      <c r="K51" s="37"/>
      <c r="L51" s="35"/>
      <c r="M51" s="78" t="e">
        <f t="shared" si="9"/>
        <v>#DIV/0!</v>
      </c>
      <c r="N51" s="79" t="e">
        <f t="shared" si="10"/>
        <v>#DIV/0!</v>
      </c>
      <c r="O51" s="80" t="str">
        <f t="shared" si="0"/>
        <v>BLANK</v>
      </c>
      <c r="P51" s="19"/>
      <c r="Q51" s="19"/>
      <c r="R51" s="81" t="str">
        <f t="shared" si="1"/>
        <v>BLANK</v>
      </c>
      <c r="S51" s="82" t="e">
        <f t="shared" si="11"/>
        <v>#VALUE!</v>
      </c>
      <c r="T51" s="83"/>
      <c r="U51" s="83"/>
      <c r="V51" s="83"/>
      <c r="W51" s="113">
        <f t="shared" si="12"/>
        <v>0</v>
      </c>
      <c r="AA51" s="75"/>
      <c r="AB51" s="44"/>
    </row>
    <row r="52" spans="1:28" ht="14.4">
      <c r="A52" s="15">
        <f t="shared" si="8"/>
        <v>39</v>
      </c>
      <c r="B52" s="15"/>
      <c r="C52" s="16"/>
      <c r="D52" s="75"/>
      <c r="E52" s="16"/>
      <c r="F52" s="17"/>
      <c r="G52" s="75"/>
      <c r="H52" s="75"/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Blank</v>
      </c>
      <c r="J52" s="37"/>
      <c r="K52" s="37"/>
      <c r="L52" s="35"/>
      <c r="M52" s="78" t="e">
        <f t="shared" si="9"/>
        <v>#DIV/0!</v>
      </c>
      <c r="N52" s="79" t="e">
        <f t="shared" si="10"/>
        <v>#DIV/0!</v>
      </c>
      <c r="O52" s="80" t="str">
        <f t="shared" si="0"/>
        <v>BLANK</v>
      </c>
      <c r="P52" s="19"/>
      <c r="Q52" s="19"/>
      <c r="R52" s="81" t="str">
        <f t="shared" si="1"/>
        <v>BLANK</v>
      </c>
      <c r="S52" s="82" t="e">
        <f t="shared" si="11"/>
        <v>#VALUE!</v>
      </c>
      <c r="T52" s="83"/>
      <c r="U52" s="83"/>
      <c r="V52" s="83"/>
      <c r="W52" s="113">
        <f t="shared" si="12"/>
        <v>0</v>
      </c>
      <c r="AA52" s="75"/>
      <c r="AB52" s="44"/>
    </row>
    <row r="53" spans="1:28" ht="14.4">
      <c r="A53" s="15">
        <f t="shared" si="8"/>
        <v>40</v>
      </c>
      <c r="B53" s="15"/>
      <c r="C53" s="16"/>
      <c r="D53" s="75"/>
      <c r="E53" s="16"/>
      <c r="F53" s="17"/>
      <c r="G53" s="75"/>
      <c r="H53" s="75"/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Blank</v>
      </c>
      <c r="J53" s="37"/>
      <c r="K53" s="37"/>
      <c r="L53" s="35"/>
      <c r="M53" s="78" t="e">
        <f t="shared" si="9"/>
        <v>#DIV/0!</v>
      </c>
      <c r="N53" s="79" t="e">
        <f t="shared" si="10"/>
        <v>#DIV/0!</v>
      </c>
      <c r="O53" s="80" t="str">
        <f t="shared" si="0"/>
        <v>BLANK</v>
      </c>
      <c r="P53" s="19"/>
      <c r="Q53" s="19"/>
      <c r="R53" s="81" t="str">
        <f t="shared" si="1"/>
        <v>BLANK</v>
      </c>
      <c r="S53" s="82" t="e">
        <f t="shared" si="11"/>
        <v>#VALUE!</v>
      </c>
      <c r="T53" s="83"/>
      <c r="U53" s="83"/>
      <c r="V53" s="83"/>
      <c r="W53" s="113">
        <f t="shared" si="12"/>
        <v>0</v>
      </c>
      <c r="AA53" s="75"/>
      <c r="AB53" s="44"/>
    </row>
    <row r="54" spans="1:28" ht="14.4">
      <c r="A54" s="15">
        <f t="shared" si="8"/>
        <v>41</v>
      </c>
      <c r="B54" s="15"/>
      <c r="C54" s="16"/>
      <c r="D54" s="75"/>
      <c r="E54" s="16"/>
      <c r="F54" s="17"/>
      <c r="G54" s="75"/>
      <c r="H54" s="75"/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Blank</v>
      </c>
      <c r="J54" s="37"/>
      <c r="K54" s="37"/>
      <c r="L54" s="35"/>
      <c r="M54" s="78" t="e">
        <f t="shared" si="9"/>
        <v>#DIV/0!</v>
      </c>
      <c r="N54" s="79" t="e">
        <f t="shared" si="10"/>
        <v>#DIV/0!</v>
      </c>
      <c r="O54" s="80" t="str">
        <f t="shared" si="0"/>
        <v>BLANK</v>
      </c>
      <c r="P54" s="19"/>
      <c r="Q54" s="19"/>
      <c r="R54" s="81" t="str">
        <f t="shared" si="1"/>
        <v>BLANK</v>
      </c>
      <c r="S54" s="82" t="e">
        <f t="shared" si="11"/>
        <v>#VALUE!</v>
      </c>
      <c r="T54" s="83"/>
      <c r="U54" s="83"/>
      <c r="V54" s="83"/>
      <c r="W54" s="113">
        <f t="shared" si="12"/>
        <v>0</v>
      </c>
      <c r="AA54" s="75"/>
      <c r="AB54" s="44"/>
    </row>
    <row r="55" spans="1:28" ht="14.4">
      <c r="A55" s="15">
        <f t="shared" si="8"/>
        <v>42</v>
      </c>
      <c r="B55" s="15"/>
      <c r="C55" s="16"/>
      <c r="D55" s="75"/>
      <c r="E55" s="16"/>
      <c r="F55" s="17"/>
      <c r="G55" s="75"/>
      <c r="H55" s="75"/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Blank</v>
      </c>
      <c r="J55" s="37"/>
      <c r="K55" s="37"/>
      <c r="L55" s="35"/>
      <c r="M55" s="78" t="e">
        <f t="shared" si="9"/>
        <v>#DIV/0!</v>
      </c>
      <c r="N55" s="79" t="e">
        <f t="shared" si="10"/>
        <v>#DIV/0!</v>
      </c>
      <c r="O55" s="80" t="str">
        <f t="shared" si="0"/>
        <v>BLANK</v>
      </c>
      <c r="P55" s="19"/>
      <c r="Q55" s="19"/>
      <c r="R55" s="81" t="str">
        <f t="shared" si="1"/>
        <v>BLANK</v>
      </c>
      <c r="S55" s="82" t="e">
        <f t="shared" si="11"/>
        <v>#VALUE!</v>
      </c>
      <c r="T55" s="83"/>
      <c r="U55" s="83"/>
      <c r="V55" s="83"/>
      <c r="W55" s="113">
        <f t="shared" si="12"/>
        <v>0</v>
      </c>
      <c r="AA55" s="75"/>
      <c r="AB55" s="44"/>
    </row>
    <row r="56" spans="1:28" ht="14.4">
      <c r="A56" s="15">
        <f t="shared" si="8"/>
        <v>43</v>
      </c>
      <c r="B56" s="15"/>
      <c r="C56" s="16"/>
      <c r="D56" s="75"/>
      <c r="E56" s="16"/>
      <c r="F56" s="17"/>
      <c r="G56" s="75"/>
      <c r="H56" s="75"/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Blank</v>
      </c>
      <c r="J56" s="37"/>
      <c r="K56" s="37"/>
      <c r="L56" s="35"/>
      <c r="M56" s="78" t="e">
        <f t="shared" si="9"/>
        <v>#DIV/0!</v>
      </c>
      <c r="N56" s="79" t="e">
        <f t="shared" si="10"/>
        <v>#DIV/0!</v>
      </c>
      <c r="O56" s="80" t="str">
        <f t="shared" si="0"/>
        <v>BLANK</v>
      </c>
      <c r="P56" s="19"/>
      <c r="Q56" s="19"/>
      <c r="R56" s="81" t="str">
        <f t="shared" si="1"/>
        <v>BLANK</v>
      </c>
      <c r="S56" s="82" t="e">
        <f t="shared" si="11"/>
        <v>#VALUE!</v>
      </c>
      <c r="T56" s="83"/>
      <c r="U56" s="83"/>
      <c r="V56" s="83"/>
      <c r="W56" s="113">
        <f t="shared" si="12"/>
        <v>0</v>
      </c>
      <c r="AA56" s="75"/>
      <c r="AB56" s="44"/>
    </row>
    <row r="57" spans="1:28" ht="14.4">
      <c r="A57" s="15">
        <f t="shared" si="8"/>
        <v>44</v>
      </c>
      <c r="B57" s="15"/>
      <c r="C57" s="16"/>
      <c r="D57" s="75"/>
      <c r="E57" s="16"/>
      <c r="F57" s="17"/>
      <c r="G57" s="75"/>
      <c r="H57" s="75"/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Blank</v>
      </c>
      <c r="J57" s="37"/>
      <c r="K57" s="37"/>
      <c r="L57" s="35"/>
      <c r="M57" s="78" t="e">
        <f t="shared" si="9"/>
        <v>#DIV/0!</v>
      </c>
      <c r="N57" s="79" t="e">
        <f t="shared" si="10"/>
        <v>#DIV/0!</v>
      </c>
      <c r="O57" s="80" t="str">
        <f t="shared" si="0"/>
        <v>BLANK</v>
      </c>
      <c r="P57" s="19"/>
      <c r="Q57" s="19"/>
      <c r="R57" s="81" t="str">
        <f t="shared" si="1"/>
        <v>BLANK</v>
      </c>
      <c r="S57" s="82" t="e">
        <f t="shared" si="11"/>
        <v>#VALUE!</v>
      </c>
      <c r="T57" s="83"/>
      <c r="U57" s="83"/>
      <c r="V57" s="83"/>
      <c r="W57" s="113">
        <f t="shared" si="12"/>
        <v>0</v>
      </c>
      <c r="AA57" s="75"/>
      <c r="AB57" s="44"/>
    </row>
    <row r="58" spans="1:28" ht="14.4">
      <c r="A58" s="15">
        <f t="shared" si="8"/>
        <v>45</v>
      </c>
      <c r="B58" s="15"/>
      <c r="C58" s="16"/>
      <c r="D58" s="75"/>
      <c r="E58" s="16"/>
      <c r="F58" s="17"/>
      <c r="G58" s="75"/>
      <c r="H58" s="75"/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Blank</v>
      </c>
      <c r="J58" s="37"/>
      <c r="K58" s="37"/>
      <c r="L58" s="35"/>
      <c r="M58" s="78" t="e">
        <f t="shared" si="9"/>
        <v>#DIV/0!</v>
      </c>
      <c r="N58" s="79" t="e">
        <f t="shared" si="10"/>
        <v>#DIV/0!</v>
      </c>
      <c r="O58" s="80" t="str">
        <f t="shared" si="0"/>
        <v>BLANK</v>
      </c>
      <c r="P58" s="19"/>
      <c r="Q58" s="19"/>
      <c r="R58" s="81" t="str">
        <f t="shared" si="1"/>
        <v>BLANK</v>
      </c>
      <c r="S58" s="82" t="e">
        <f t="shared" si="11"/>
        <v>#VALUE!</v>
      </c>
      <c r="T58" s="83"/>
      <c r="U58" s="83"/>
      <c r="V58" s="83"/>
      <c r="W58" s="113">
        <f t="shared" si="12"/>
        <v>0</v>
      </c>
      <c r="AA58" s="75"/>
      <c r="AB58" s="44"/>
    </row>
    <row r="59" spans="1:28" ht="14.4">
      <c r="A59" s="15">
        <f t="shared" si="8"/>
        <v>46</v>
      </c>
      <c r="B59" s="15"/>
      <c r="C59" s="16"/>
      <c r="D59" s="75"/>
      <c r="E59" s="16"/>
      <c r="F59" s="17"/>
      <c r="G59" s="75"/>
      <c r="H59" s="75"/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Blank</v>
      </c>
      <c r="J59" s="37"/>
      <c r="K59" s="37"/>
      <c r="L59" s="35"/>
      <c r="M59" s="78" t="e">
        <f t="shared" si="9"/>
        <v>#DIV/0!</v>
      </c>
      <c r="N59" s="79" t="e">
        <f t="shared" si="10"/>
        <v>#DIV/0!</v>
      </c>
      <c r="O59" s="80" t="str">
        <f t="shared" si="0"/>
        <v>BLANK</v>
      </c>
      <c r="P59" s="19"/>
      <c r="Q59" s="19"/>
      <c r="R59" s="81" t="str">
        <f t="shared" si="1"/>
        <v>BLANK</v>
      </c>
      <c r="S59" s="82" t="e">
        <f t="shared" si="11"/>
        <v>#VALUE!</v>
      </c>
      <c r="T59" s="83"/>
      <c r="U59" s="83"/>
      <c r="V59" s="83"/>
      <c r="W59" s="113">
        <f t="shared" si="12"/>
        <v>0</v>
      </c>
      <c r="AA59" s="75"/>
      <c r="AB59" s="44"/>
    </row>
    <row r="60" spans="1:28" ht="14.4">
      <c r="A60" s="15">
        <f t="shared" si="8"/>
        <v>47</v>
      </c>
      <c r="B60" s="15"/>
      <c r="C60" s="16"/>
      <c r="D60" s="75"/>
      <c r="E60" s="16"/>
      <c r="F60" s="17"/>
      <c r="G60" s="75"/>
      <c r="H60" s="75"/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Blank</v>
      </c>
      <c r="J60" s="37"/>
      <c r="K60" s="37"/>
      <c r="L60" s="35"/>
      <c r="M60" s="78" t="e">
        <f t="shared" si="9"/>
        <v>#DIV/0!</v>
      </c>
      <c r="N60" s="79" t="e">
        <f t="shared" si="10"/>
        <v>#DIV/0!</v>
      </c>
      <c r="O60" s="80" t="str">
        <f t="shared" si="0"/>
        <v>BLANK</v>
      </c>
      <c r="P60" s="19"/>
      <c r="Q60" s="19"/>
      <c r="R60" s="81" t="str">
        <f t="shared" si="1"/>
        <v>BLANK</v>
      </c>
      <c r="S60" s="82" t="e">
        <f t="shared" si="11"/>
        <v>#VALUE!</v>
      </c>
      <c r="T60" s="83"/>
      <c r="U60" s="83"/>
      <c r="V60" s="83"/>
      <c r="W60" s="113">
        <f t="shared" si="12"/>
        <v>0</v>
      </c>
      <c r="AA60" s="75"/>
      <c r="AB60" s="44"/>
    </row>
    <row r="61" spans="1:28" ht="14.4">
      <c r="A61" s="15">
        <f t="shared" si="8"/>
        <v>48</v>
      </c>
      <c r="B61" s="15"/>
      <c r="C61" s="16"/>
      <c r="D61" s="75"/>
      <c r="E61" s="16"/>
      <c r="F61" s="17"/>
      <c r="G61" s="75"/>
      <c r="H61" s="75"/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Blank</v>
      </c>
      <c r="J61" s="37"/>
      <c r="K61" s="37"/>
      <c r="L61" s="35"/>
      <c r="M61" s="78" t="e">
        <f t="shared" si="9"/>
        <v>#DIV/0!</v>
      </c>
      <c r="N61" s="79" t="e">
        <f t="shared" si="10"/>
        <v>#DIV/0!</v>
      </c>
      <c r="O61" s="80" t="str">
        <f t="shared" si="0"/>
        <v>BLANK</v>
      </c>
      <c r="P61" s="19"/>
      <c r="Q61" s="19"/>
      <c r="R61" s="81" t="str">
        <f t="shared" si="1"/>
        <v>BLANK</v>
      </c>
      <c r="S61" s="82" t="e">
        <f t="shared" si="11"/>
        <v>#VALUE!</v>
      </c>
      <c r="T61" s="83"/>
      <c r="U61" s="83"/>
      <c r="V61" s="83"/>
      <c r="W61" s="113">
        <f t="shared" si="12"/>
        <v>0</v>
      </c>
      <c r="AA61" s="75"/>
      <c r="AB61" s="44"/>
    </row>
    <row r="62" spans="1:28" ht="14.4">
      <c r="A62" s="15">
        <f t="shared" si="8"/>
        <v>49</v>
      </c>
      <c r="B62" s="15"/>
      <c r="C62" s="16"/>
      <c r="D62" s="75"/>
      <c r="E62" s="16"/>
      <c r="F62" s="17"/>
      <c r="G62" s="75"/>
      <c r="H62" s="75"/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Blank</v>
      </c>
      <c r="J62" s="37"/>
      <c r="K62" s="37"/>
      <c r="L62" s="35"/>
      <c r="M62" s="78" t="e">
        <f t="shared" si="9"/>
        <v>#DIV/0!</v>
      </c>
      <c r="N62" s="79" t="e">
        <f t="shared" si="10"/>
        <v>#DIV/0!</v>
      </c>
      <c r="O62" s="80" t="str">
        <f t="shared" si="0"/>
        <v>BLANK</v>
      </c>
      <c r="P62" s="19"/>
      <c r="Q62" s="19"/>
      <c r="R62" s="81" t="str">
        <f t="shared" si="1"/>
        <v>BLANK</v>
      </c>
      <c r="S62" s="82" t="e">
        <f t="shared" si="11"/>
        <v>#VALUE!</v>
      </c>
      <c r="T62" s="83"/>
      <c r="U62" s="83"/>
      <c r="V62" s="83"/>
      <c r="W62" s="113">
        <f t="shared" si="12"/>
        <v>0</v>
      </c>
      <c r="AA62" s="75"/>
      <c r="AB62" s="44"/>
    </row>
    <row r="63" spans="1:28" ht="14.4">
      <c r="A63" s="15">
        <f t="shared" si="8"/>
        <v>50</v>
      </c>
      <c r="B63" s="15"/>
      <c r="C63" s="16"/>
      <c r="D63" s="75"/>
      <c r="E63" s="16"/>
      <c r="F63" s="17"/>
      <c r="G63" s="75"/>
      <c r="H63" s="75"/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Blank</v>
      </c>
      <c r="J63" s="37"/>
      <c r="K63" s="37"/>
      <c r="L63" s="35"/>
      <c r="M63" s="78" t="e">
        <f t="shared" si="9"/>
        <v>#DIV/0!</v>
      </c>
      <c r="N63" s="79" t="e">
        <f t="shared" si="10"/>
        <v>#DIV/0!</v>
      </c>
      <c r="O63" s="80" t="str">
        <f t="shared" si="0"/>
        <v>BLANK</v>
      </c>
      <c r="P63" s="19"/>
      <c r="Q63" s="19"/>
      <c r="R63" s="81" t="str">
        <f t="shared" si="1"/>
        <v>BLANK</v>
      </c>
      <c r="S63" s="82" t="e">
        <f t="shared" si="11"/>
        <v>#VALUE!</v>
      </c>
      <c r="T63" s="83"/>
      <c r="U63" s="83"/>
      <c r="V63" s="83"/>
      <c r="W63" s="113">
        <f t="shared" si="12"/>
        <v>0</v>
      </c>
      <c r="AA63" s="75"/>
      <c r="AB63" s="44"/>
    </row>
    <row r="64" spans="1:28" ht="14.4">
      <c r="A64" s="15">
        <f t="shared" si="8"/>
        <v>51</v>
      </c>
      <c r="B64" s="15"/>
      <c r="C64" s="16"/>
      <c r="D64" s="75"/>
      <c r="E64" s="16"/>
      <c r="F64" s="17"/>
      <c r="G64" s="75"/>
      <c r="H64" s="75"/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7"/>
      <c r="K64" s="37"/>
      <c r="L64" s="35"/>
      <c r="M64" s="78" t="e">
        <f t="shared" si="9"/>
        <v>#DIV/0!</v>
      </c>
      <c r="N64" s="79" t="e">
        <f t="shared" si="10"/>
        <v>#DIV/0!</v>
      </c>
      <c r="O64" s="80" t="str">
        <f t="shared" si="0"/>
        <v>BLANK</v>
      </c>
      <c r="P64" s="19"/>
      <c r="Q64" s="19"/>
      <c r="R64" s="81" t="str">
        <f t="shared" si="1"/>
        <v>BLANK</v>
      </c>
      <c r="S64" s="82" t="e">
        <f t="shared" si="11"/>
        <v>#VALUE!</v>
      </c>
      <c r="T64" s="83"/>
      <c r="U64" s="83"/>
      <c r="V64" s="83"/>
      <c r="W64" s="113">
        <f t="shared" si="12"/>
        <v>0</v>
      </c>
      <c r="AA64" s="75"/>
      <c r="AB64" s="44"/>
    </row>
    <row r="65" spans="1:28" ht="14.4">
      <c r="A65" s="15">
        <f t="shared" si="8"/>
        <v>52</v>
      </c>
      <c r="B65" s="15"/>
      <c r="C65" s="16"/>
      <c r="D65" s="75"/>
      <c r="E65" s="16"/>
      <c r="F65" s="17"/>
      <c r="G65" s="75"/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7"/>
      <c r="K65" s="37"/>
      <c r="L65" s="35"/>
      <c r="M65" s="78" t="e">
        <f t="shared" si="9"/>
        <v>#DIV/0!</v>
      </c>
      <c r="N65" s="79" t="e">
        <f t="shared" si="10"/>
        <v>#DIV/0!</v>
      </c>
      <c r="O65" s="80" t="str">
        <f t="shared" si="0"/>
        <v>BLANK</v>
      </c>
      <c r="P65" s="19"/>
      <c r="Q65" s="19"/>
      <c r="R65" s="81" t="str">
        <f t="shared" si="1"/>
        <v>BLANK</v>
      </c>
      <c r="S65" s="82" t="e">
        <f t="shared" si="11"/>
        <v>#VALUE!</v>
      </c>
      <c r="T65" s="83"/>
      <c r="U65" s="83"/>
      <c r="V65" s="83"/>
      <c r="W65" s="113">
        <f t="shared" si="12"/>
        <v>0</v>
      </c>
      <c r="AA65" s="75"/>
      <c r="AB65" s="44"/>
    </row>
    <row r="66" spans="1:28" ht="14.4">
      <c r="A66" s="15">
        <f t="shared" si="8"/>
        <v>53</v>
      </c>
      <c r="B66" s="15"/>
      <c r="C66" s="16"/>
      <c r="D66" s="75"/>
      <c r="E66" s="16"/>
      <c r="F66" s="17"/>
      <c r="G66" s="75"/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7"/>
      <c r="K66" s="37"/>
      <c r="L66" s="35"/>
      <c r="M66" s="78" t="e">
        <f t="shared" si="9"/>
        <v>#DIV/0!</v>
      </c>
      <c r="N66" s="79" t="e">
        <f t="shared" si="10"/>
        <v>#DIV/0!</v>
      </c>
      <c r="O66" s="80" t="str">
        <f t="shared" si="0"/>
        <v>BLANK</v>
      </c>
      <c r="P66" s="19"/>
      <c r="Q66" s="19"/>
      <c r="R66" s="81" t="str">
        <f t="shared" si="1"/>
        <v>BLANK</v>
      </c>
      <c r="S66" s="82" t="e">
        <f t="shared" si="11"/>
        <v>#VALUE!</v>
      </c>
      <c r="T66" s="83"/>
      <c r="U66" s="83"/>
      <c r="V66" s="83"/>
      <c r="W66" s="113">
        <f t="shared" si="12"/>
        <v>0</v>
      </c>
      <c r="AA66" s="75"/>
      <c r="AB66" s="44"/>
    </row>
    <row r="67" spans="1:28" ht="14.4">
      <c r="A67" s="15">
        <f t="shared" si="8"/>
        <v>54</v>
      </c>
      <c r="B67" s="15"/>
      <c r="C67" s="16"/>
      <c r="D67" s="75"/>
      <c r="E67" s="16"/>
      <c r="F67" s="17"/>
      <c r="G67" s="75"/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7"/>
      <c r="K67" s="37"/>
      <c r="L67" s="35"/>
      <c r="M67" s="78" t="e">
        <f t="shared" si="9"/>
        <v>#DIV/0!</v>
      </c>
      <c r="N67" s="79" t="e">
        <f t="shared" si="10"/>
        <v>#DIV/0!</v>
      </c>
      <c r="O67" s="80" t="str">
        <f t="shared" si="0"/>
        <v>BLANK</v>
      </c>
      <c r="P67" s="19"/>
      <c r="Q67" s="19"/>
      <c r="R67" s="81" t="str">
        <f t="shared" si="1"/>
        <v>BLANK</v>
      </c>
      <c r="S67" s="82" t="e">
        <f t="shared" si="11"/>
        <v>#VALUE!</v>
      </c>
      <c r="T67" s="83"/>
      <c r="U67" s="83"/>
      <c r="V67" s="83"/>
      <c r="W67" s="113">
        <f t="shared" si="12"/>
        <v>0</v>
      </c>
      <c r="AA67" s="75"/>
      <c r="AB67" s="44"/>
    </row>
    <row r="68" spans="1:28" ht="14.4">
      <c r="A68" s="15">
        <f t="shared" si="8"/>
        <v>55</v>
      </c>
      <c r="B68" s="15"/>
      <c r="C68" s="16"/>
      <c r="D68" s="75"/>
      <c r="E68" s="16"/>
      <c r="F68" s="17"/>
      <c r="G68" s="75"/>
      <c r="H68" s="75"/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7"/>
      <c r="K68" s="37"/>
      <c r="L68" s="35"/>
      <c r="M68" s="78" t="e">
        <f t="shared" si="9"/>
        <v>#DIV/0!</v>
      </c>
      <c r="N68" s="79" t="e">
        <f t="shared" si="10"/>
        <v>#DIV/0!</v>
      </c>
      <c r="O68" s="80" t="str">
        <f t="shared" si="0"/>
        <v>BLANK</v>
      </c>
      <c r="P68" s="19"/>
      <c r="Q68" s="19"/>
      <c r="R68" s="81" t="str">
        <f t="shared" si="1"/>
        <v>BLANK</v>
      </c>
      <c r="S68" s="82" t="e">
        <f t="shared" si="11"/>
        <v>#VALUE!</v>
      </c>
      <c r="T68" s="83"/>
      <c r="U68" s="83"/>
      <c r="V68" s="83"/>
      <c r="W68" s="113">
        <f t="shared" si="12"/>
        <v>0</v>
      </c>
      <c r="AA68" s="75"/>
      <c r="AB68" s="44"/>
    </row>
    <row r="69" spans="1:28" ht="14.4">
      <c r="A69" s="15">
        <f t="shared" si="8"/>
        <v>56</v>
      </c>
      <c r="B69" s="15"/>
      <c r="C69" s="16"/>
      <c r="D69" s="75"/>
      <c r="E69" s="16"/>
      <c r="F69" s="17"/>
      <c r="G69" s="75"/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7"/>
      <c r="K69" s="37"/>
      <c r="L69" s="35"/>
      <c r="M69" s="78" t="e">
        <f t="shared" si="9"/>
        <v>#DIV/0!</v>
      </c>
      <c r="N69" s="79" t="e">
        <f t="shared" si="10"/>
        <v>#DIV/0!</v>
      </c>
      <c r="O69" s="80" t="str">
        <f t="shared" si="0"/>
        <v>BLANK</v>
      </c>
      <c r="P69" s="19"/>
      <c r="Q69" s="19"/>
      <c r="R69" s="81" t="str">
        <f t="shared" si="1"/>
        <v>BLANK</v>
      </c>
      <c r="S69" s="82" t="e">
        <f t="shared" si="11"/>
        <v>#VALUE!</v>
      </c>
      <c r="T69" s="83"/>
      <c r="U69" s="83"/>
      <c r="V69" s="83"/>
      <c r="W69" s="113">
        <f t="shared" si="12"/>
        <v>0</v>
      </c>
      <c r="AA69" s="75"/>
      <c r="AB69" s="44"/>
    </row>
    <row r="70" spans="1:28" ht="14.4">
      <c r="A70" s="15">
        <f t="shared" si="8"/>
        <v>57</v>
      </c>
      <c r="B70" s="15"/>
      <c r="C70" s="16"/>
      <c r="D70" s="75"/>
      <c r="E70" s="16"/>
      <c r="F70" s="17"/>
      <c r="G70" s="75"/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7"/>
      <c r="K70" s="37"/>
      <c r="L70" s="35"/>
      <c r="M70" s="78" t="e">
        <f t="shared" si="9"/>
        <v>#DIV/0!</v>
      </c>
      <c r="N70" s="79" t="e">
        <f t="shared" si="10"/>
        <v>#DIV/0!</v>
      </c>
      <c r="O70" s="80" t="str">
        <f t="shared" si="0"/>
        <v>BLANK</v>
      </c>
      <c r="P70" s="19"/>
      <c r="Q70" s="19"/>
      <c r="R70" s="81" t="str">
        <f t="shared" si="1"/>
        <v>BLANK</v>
      </c>
      <c r="S70" s="82" t="e">
        <f t="shared" si="11"/>
        <v>#VALUE!</v>
      </c>
      <c r="T70" s="83"/>
      <c r="U70" s="83"/>
      <c r="V70" s="83"/>
      <c r="W70" s="113">
        <f t="shared" si="12"/>
        <v>0</v>
      </c>
      <c r="AA70" s="75"/>
      <c r="AB70" s="44"/>
    </row>
    <row r="71" spans="1:28" ht="14.4">
      <c r="A71" s="15">
        <f t="shared" si="8"/>
        <v>58</v>
      </c>
      <c r="B71" s="15"/>
      <c r="C71" s="16"/>
      <c r="D71" s="75"/>
      <c r="E71" s="16"/>
      <c r="F71" s="17"/>
      <c r="G71" s="75"/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7"/>
      <c r="K71" s="37"/>
      <c r="L71" s="35"/>
      <c r="M71" s="78" t="e">
        <f t="shared" si="9"/>
        <v>#DIV/0!</v>
      </c>
      <c r="N71" s="79" t="e">
        <f t="shared" si="10"/>
        <v>#DIV/0!</v>
      </c>
      <c r="O71" s="80" t="str">
        <f t="shared" si="0"/>
        <v>BLANK</v>
      </c>
      <c r="P71" s="19"/>
      <c r="Q71" s="19"/>
      <c r="R71" s="81" t="str">
        <f t="shared" si="1"/>
        <v>BLANK</v>
      </c>
      <c r="S71" s="82" t="e">
        <f t="shared" si="11"/>
        <v>#VALUE!</v>
      </c>
      <c r="T71" s="83"/>
      <c r="U71" s="83"/>
      <c r="V71" s="83"/>
      <c r="W71" s="113">
        <f t="shared" si="12"/>
        <v>0</v>
      </c>
      <c r="AA71" s="75"/>
      <c r="AB71" s="44"/>
    </row>
    <row r="72" spans="1:28" ht="14.4">
      <c r="A72" s="15">
        <f t="shared" si="8"/>
        <v>59</v>
      </c>
      <c r="B72" s="15"/>
      <c r="C72" s="16"/>
      <c r="D72" s="75"/>
      <c r="E72" s="16"/>
      <c r="F72" s="17"/>
      <c r="G72" s="75"/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7"/>
      <c r="K72" s="37"/>
      <c r="L72" s="35"/>
      <c r="M72" s="78" t="e">
        <f t="shared" si="9"/>
        <v>#DIV/0!</v>
      </c>
      <c r="N72" s="79" t="e">
        <f t="shared" si="10"/>
        <v>#DIV/0!</v>
      </c>
      <c r="O72" s="80" t="str">
        <f t="shared" si="0"/>
        <v>BLANK</v>
      </c>
      <c r="P72" s="19"/>
      <c r="Q72" s="19"/>
      <c r="R72" s="81" t="str">
        <f t="shared" si="1"/>
        <v>BLANK</v>
      </c>
      <c r="S72" s="82" t="e">
        <f t="shared" si="11"/>
        <v>#VALUE!</v>
      </c>
      <c r="T72" s="83"/>
      <c r="U72" s="83"/>
      <c r="V72" s="83"/>
      <c r="W72" s="113">
        <f t="shared" si="12"/>
        <v>0</v>
      </c>
      <c r="AA72" s="75"/>
      <c r="AB72" s="44"/>
    </row>
    <row r="73" spans="1:28" ht="14.4">
      <c r="A73" s="15">
        <f t="shared" si="8"/>
        <v>60</v>
      </c>
      <c r="B73" s="15"/>
      <c r="C73" s="16"/>
      <c r="D73" s="75"/>
      <c r="E73" s="16"/>
      <c r="F73" s="17"/>
      <c r="G73" s="75"/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7"/>
      <c r="K73" s="37"/>
      <c r="L73" s="35"/>
      <c r="M73" s="78" t="e">
        <f t="shared" si="9"/>
        <v>#DIV/0!</v>
      </c>
      <c r="N73" s="79" t="e">
        <f t="shared" si="10"/>
        <v>#DIV/0!</v>
      </c>
      <c r="O73" s="80" t="str">
        <f t="shared" si="0"/>
        <v>BLANK</v>
      </c>
      <c r="P73" s="19"/>
      <c r="Q73" s="19"/>
      <c r="R73" s="81" t="str">
        <f t="shared" si="1"/>
        <v>BLANK</v>
      </c>
      <c r="S73" s="82" t="e">
        <f t="shared" si="11"/>
        <v>#VALUE!</v>
      </c>
      <c r="T73" s="83"/>
      <c r="U73" s="83"/>
      <c r="V73" s="83"/>
      <c r="W73" s="113">
        <f t="shared" si="12"/>
        <v>0</v>
      </c>
      <c r="AA73" s="75"/>
      <c r="AB73" s="44"/>
    </row>
    <row r="74" spans="1:28" ht="14.4">
      <c r="A74" s="15">
        <f t="shared" si="8"/>
        <v>61</v>
      </c>
      <c r="B74" s="15"/>
      <c r="C74" s="16"/>
      <c r="D74" s="75"/>
      <c r="E74" s="16"/>
      <c r="F74" s="17"/>
      <c r="G74" s="75"/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7"/>
      <c r="K74" s="37"/>
      <c r="L74" s="35"/>
      <c r="M74" s="78" t="e">
        <f t="shared" si="9"/>
        <v>#DIV/0!</v>
      </c>
      <c r="N74" s="79" t="e">
        <f t="shared" si="10"/>
        <v>#DIV/0!</v>
      </c>
      <c r="O74" s="80" t="str">
        <f t="shared" si="0"/>
        <v>BLANK</v>
      </c>
      <c r="P74" s="19"/>
      <c r="Q74" s="19"/>
      <c r="R74" s="81" t="str">
        <f t="shared" si="1"/>
        <v>BLANK</v>
      </c>
      <c r="S74" s="82" t="e">
        <f t="shared" si="11"/>
        <v>#VALUE!</v>
      </c>
      <c r="T74" s="83"/>
      <c r="U74" s="83"/>
      <c r="V74" s="83"/>
      <c r="W74" s="113">
        <f t="shared" si="12"/>
        <v>0</v>
      </c>
      <c r="AA74" s="75"/>
      <c r="AB74" s="44"/>
    </row>
    <row r="75" spans="1:28" ht="14.4">
      <c r="A75" s="15">
        <f t="shared" si="8"/>
        <v>62</v>
      </c>
      <c r="B75" s="15"/>
      <c r="C75" s="16"/>
      <c r="D75" s="75"/>
      <c r="E75" s="16"/>
      <c r="F75" s="17"/>
      <c r="G75" s="75"/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7"/>
      <c r="K75" s="37"/>
      <c r="L75" s="35"/>
      <c r="M75" s="78" t="e">
        <f t="shared" si="9"/>
        <v>#DIV/0!</v>
      </c>
      <c r="N75" s="79" t="e">
        <f t="shared" si="10"/>
        <v>#DIV/0!</v>
      </c>
      <c r="O75" s="80" t="str">
        <f t="shared" si="0"/>
        <v>BLANK</v>
      </c>
      <c r="P75" s="19"/>
      <c r="Q75" s="19"/>
      <c r="R75" s="81" t="str">
        <f t="shared" si="1"/>
        <v>BLANK</v>
      </c>
      <c r="S75" s="82" t="e">
        <f t="shared" si="11"/>
        <v>#VALUE!</v>
      </c>
      <c r="T75" s="83"/>
      <c r="U75" s="83"/>
      <c r="V75" s="83"/>
      <c r="W75" s="113">
        <f t="shared" si="12"/>
        <v>0</v>
      </c>
      <c r="AA75" s="75"/>
      <c r="AB75" s="44"/>
    </row>
    <row r="76" spans="1:28" ht="14.4">
      <c r="A76" s="15">
        <f t="shared" si="8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9"/>
        <v>#DIV/0!</v>
      </c>
      <c r="N76" s="79" t="e">
        <f t="shared" si="10"/>
        <v>#DIV/0!</v>
      </c>
      <c r="O76" s="80" t="str">
        <f t="shared" si="0"/>
        <v>BLANK</v>
      </c>
      <c r="P76" s="19"/>
      <c r="Q76" s="19"/>
      <c r="R76" s="81" t="str">
        <f t="shared" si="1"/>
        <v>BLANK</v>
      </c>
      <c r="S76" s="82" t="e">
        <f t="shared" si="11"/>
        <v>#VALUE!</v>
      </c>
      <c r="T76" s="83"/>
      <c r="U76" s="83"/>
      <c r="V76" s="83"/>
      <c r="W76" s="113">
        <f t="shared" si="12"/>
        <v>0</v>
      </c>
      <c r="AA76" s="75"/>
      <c r="AB76" s="44"/>
    </row>
    <row r="77" spans="1:28" ht="14.4">
      <c r="A77" s="15">
        <f t="shared" si="8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9"/>
        <v>#DIV/0!</v>
      </c>
      <c r="N77" s="79" t="e">
        <f t="shared" si="10"/>
        <v>#DIV/0!</v>
      </c>
      <c r="O77" s="80" t="str">
        <f t="shared" ref="O77:O140" si="13">IF(K77=0,"BLANK",(J77-K77))</f>
        <v>BLANK</v>
      </c>
      <c r="P77" s="19"/>
      <c r="Q77" s="19"/>
      <c r="R77" s="81" t="str">
        <f t="shared" ref="R77:R140" si="14">IF(K77=0,"BLANK",SUM(P77:Q77))</f>
        <v>BLANK</v>
      </c>
      <c r="S77" s="82" t="e">
        <f t="shared" si="11"/>
        <v>#VALUE!</v>
      </c>
      <c r="T77" s="83"/>
      <c r="U77" s="83"/>
      <c r="V77" s="83"/>
      <c r="W77" s="113">
        <f t="shared" ref="W77:W108" si="15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4.4">
      <c r="A78" s="15">
        <f t="shared" si="8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9"/>
        <v>#DIV/0!</v>
      </c>
      <c r="N78" s="79" t="e">
        <f t="shared" si="10"/>
        <v>#DIV/0!</v>
      </c>
      <c r="O78" s="80" t="str">
        <f t="shared" si="13"/>
        <v>BLANK</v>
      </c>
      <c r="P78" s="19"/>
      <c r="Q78" s="19"/>
      <c r="R78" s="81" t="str">
        <f t="shared" si="14"/>
        <v>BLANK</v>
      </c>
      <c r="S78" s="82" t="e">
        <f t="shared" si="11"/>
        <v>#VALUE!</v>
      </c>
      <c r="T78" s="83"/>
      <c r="U78" s="83"/>
      <c r="V78" s="83"/>
      <c r="W78" s="113">
        <f t="shared" si="15"/>
        <v>0</v>
      </c>
      <c r="AA78" s="75"/>
      <c r="AB78" s="44"/>
    </row>
    <row r="79" spans="1:28" ht="14.4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4.4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4.4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4.4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4.4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4.4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4.4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4.4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4.4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4.4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4.4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4.4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4.4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4.4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4.4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4.4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4.4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4.4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4.4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4.4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4.4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4.4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4.4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4.4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4.4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4.4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4.4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4.4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4.4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4.4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4.4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4.4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4.4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4.4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4.4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4.4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4.4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4.4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4.4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4.4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4.4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4.4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4.4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4.4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4.4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4.4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4.4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4.4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4.4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4.4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4.4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4.4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4.4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4.4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4.4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4.4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4.4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4.4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4.4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4.4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4.4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4.4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4.4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4.4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4.4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4.4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4.4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4.4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4.4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4.4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4.4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4.4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4.4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4.4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4.4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4.4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4.4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4.4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4.4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4.4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4.4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4.4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4.4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4.4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4.4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4.4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4.4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4.4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4.4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4.4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4.4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4.4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4.4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4.4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4.4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4.4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4.4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4.4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4.4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4.4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4.4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4.4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4.4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4.4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4.4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4.4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4.4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4.4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4.4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4.4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4.4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4.4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4.4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4.4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4.4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4.4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4.4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4.4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4.4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4.4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4.4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4.4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4.4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4.4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4.4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4.4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4.4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4.4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4.4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4.4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4.4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4.4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4.4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4.4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ht="15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2" thickBot="1">
      <c r="A214" s="85" t="s">
        <v>121</v>
      </c>
      <c r="B214" s="86"/>
      <c r="C214" s="87"/>
      <c r="D214" s="88">
        <f>COUNTA(D14:D213)</f>
        <v>19</v>
      </c>
      <c r="E214" s="89" t="s">
        <v>122</v>
      </c>
      <c r="F214" s="90">
        <f>AVERAGE(F14:F213)</f>
        <v>41.842105263157897</v>
      </c>
      <c r="G214" s="91"/>
      <c r="H214" s="91"/>
      <c r="I214" s="92">
        <f>COUNTIF(I14:I213,"No")</f>
        <v>1</v>
      </c>
      <c r="J214" s="93">
        <f>AVERAGEIF(J14:J213,"&lt;&gt;BLANK")</f>
        <v>53500.473684210527</v>
      </c>
      <c r="K214" s="94">
        <f>AVERAGEIF(K14:K213,"&lt;&gt;BLANK")</f>
        <v>52228.473684210527</v>
      </c>
      <c r="L214" s="95">
        <f>AVERAGEIF(L14:L213,"&lt;&gt;BLANK")</f>
        <v>1.0089473684210526</v>
      </c>
      <c r="M214" s="94">
        <f>J214/L214</f>
        <v>53026.030255607722</v>
      </c>
      <c r="N214" s="96">
        <f t="shared" ref="N214" si="36">K214/M214</f>
        <v>0.98495914992028188</v>
      </c>
      <c r="O214" s="94">
        <f>AVERAGEIF(O14:O213,"&lt;&gt;BLANK")</f>
        <v>1272</v>
      </c>
      <c r="P214" s="94">
        <f>AVERAGEIF(P14:P213,"&lt;&gt;BLANK")</f>
        <v>2991.6315789473683</v>
      </c>
      <c r="Q214" s="94">
        <f>AVERAGEIF(Q14:Q213,"&lt;&gt;BLANK")</f>
        <v>895.68421052631584</v>
      </c>
      <c r="R214" s="97">
        <f>AVERAGEIF(R14:R213,"&lt;&gt;BLANK")</f>
        <v>3887.3157894736842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8</v>
      </c>
      <c r="AB214" s="101">
        <f>AVERAGEIF(AB14:AB213,"&lt;&gt;BLANK")</f>
        <v>-78.94736842105263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H13:H213 AA13:AA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4.4"/>
  <cols>
    <col min="1" max="1" width="36.5546875" customWidth="1"/>
    <col min="2" max="2" width="11.5546875" bestFit="1" customWidth="1"/>
    <col min="3" max="3" width="9" customWidth="1"/>
  </cols>
  <sheetData>
    <row r="1" spans="1:2" ht="22.5" customHeight="1">
      <c r="A1" s="33" t="s">
        <v>123</v>
      </c>
    </row>
    <row r="2" spans="1:2" ht="22.5" customHeight="1">
      <c r="A2" s="5" t="s">
        <v>124</v>
      </c>
      <c r="B2" s="14">
        <f>'Sales Log'!I214/'Scoreboard Total'!B3</f>
        <v>5.2631578947368418E-2</v>
      </c>
    </row>
    <row r="3" spans="1:2" ht="22.5" customHeight="1">
      <c r="A3" s="5" t="s">
        <v>125</v>
      </c>
      <c r="B3" s="6">
        <f>'Sales Log'!D214</f>
        <v>19</v>
      </c>
    </row>
    <row r="4" spans="1:2" ht="21.75" customHeight="1">
      <c r="A4" s="5" t="s">
        <v>126</v>
      </c>
      <c r="B4" s="7">
        <f>'Sales Log'!$F$214</f>
        <v>41.842105263157897</v>
      </c>
    </row>
    <row r="5" spans="1:2" ht="22.5" customHeight="1">
      <c r="A5" s="5" t="s">
        <v>127</v>
      </c>
      <c r="B5" s="8">
        <f>'Sales Log'!$J$214</f>
        <v>53500.473684210527</v>
      </c>
    </row>
    <row r="6" spans="1:2" ht="22.5" customHeight="1">
      <c r="A6" s="5" t="s">
        <v>128</v>
      </c>
      <c r="B6" s="8">
        <f>'Sales Log'!$K$214</f>
        <v>52228.473684210527</v>
      </c>
    </row>
    <row r="7" spans="1:2" ht="22.5" customHeight="1">
      <c r="A7" s="5" t="s">
        <v>129</v>
      </c>
      <c r="B7" s="8">
        <f>'Sales Log'!$M$214</f>
        <v>53026.030255607722</v>
      </c>
    </row>
    <row r="8" spans="1:2" ht="22.5" customHeight="1">
      <c r="A8" s="5" t="s">
        <v>130</v>
      </c>
      <c r="B8" s="9">
        <f>'Sales Log'!L214</f>
        <v>1.0089473684210526</v>
      </c>
    </row>
    <row r="9" spans="1:2" ht="22.5" customHeight="1">
      <c r="A9" s="5" t="s">
        <v>131</v>
      </c>
      <c r="B9" s="9">
        <f>'Sales Log'!$N$214</f>
        <v>0.98495914992028188</v>
      </c>
    </row>
    <row r="10" spans="1:2" ht="22.5" customHeight="1">
      <c r="A10" s="5" t="s">
        <v>132</v>
      </c>
      <c r="B10" s="8">
        <f>'Sales Log'!$O$214</f>
        <v>1272</v>
      </c>
    </row>
    <row r="11" spans="1:2" ht="22.5" customHeight="1">
      <c r="A11" s="5" t="s">
        <v>133</v>
      </c>
      <c r="B11" s="8">
        <f>'Sales Log'!$P$214</f>
        <v>2991.6315789473683</v>
      </c>
    </row>
    <row r="12" spans="1:2" ht="22.5" customHeight="1">
      <c r="A12" s="5" t="s">
        <v>134</v>
      </c>
      <c r="B12" s="8">
        <f>'Sales Log'!$Q$214</f>
        <v>895.68421052631584</v>
      </c>
    </row>
    <row r="13" spans="1:2" ht="22.5" customHeight="1">
      <c r="A13" s="5" t="s">
        <v>135</v>
      </c>
      <c r="B13" s="8">
        <f>'Sales Log'!$R$214</f>
        <v>3887.3157894736842</v>
      </c>
    </row>
    <row r="14" spans="1:2" ht="21.75" customHeight="1">
      <c r="A14" s="5" t="s">
        <v>136</v>
      </c>
      <c r="B14" s="10">
        <f>B13*B3</f>
        <v>73859</v>
      </c>
    </row>
    <row r="15" spans="1:2" ht="21.75" customHeight="1">
      <c r="A15" s="5" t="s">
        <v>90</v>
      </c>
      <c r="B15" s="9">
        <f>(B13/(B6)*(360/B4))</f>
        <v>0.64037071249454292</v>
      </c>
    </row>
    <row r="16" spans="1:2" ht="21.75" customHeight="1">
      <c r="A16" s="5" t="s">
        <v>137</v>
      </c>
      <c r="B16" s="9">
        <f>'Sales Log'!AA214/'Scoreboard Total'!B3</f>
        <v>0.42105263157894735</v>
      </c>
    </row>
    <row r="17" spans="1:2" ht="21.75" customHeight="1">
      <c r="A17" s="5" t="s">
        <v>138</v>
      </c>
      <c r="B17" s="45">
        <f>'Sales Log'!$AB$214</f>
        <v>-78.94736842105263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E2" sqref="E2"/>
    </sheetView>
  </sheetViews>
  <sheetFormatPr defaultRowHeight="14.4"/>
  <cols>
    <col min="1" max="1" width="37.6640625" bestFit="1" customWidth="1"/>
    <col min="2" max="2" width="13.44140625" customWidth="1"/>
    <col min="3" max="13" width="19.6640625" customWidth="1"/>
  </cols>
  <sheetData>
    <row r="1" spans="1:13" ht="22.5" customHeight="1">
      <c r="A1" s="20" t="s">
        <v>139</v>
      </c>
      <c r="B1" s="21"/>
      <c r="C1" s="43" t="s">
        <v>140</v>
      </c>
    </row>
    <row r="2" spans="1:13" ht="22.5" customHeight="1">
      <c r="A2" s="22" t="s">
        <v>92</v>
      </c>
      <c r="B2" s="22" t="s">
        <v>141</v>
      </c>
      <c r="C2" s="32" t="s">
        <v>5</v>
      </c>
      <c r="D2" s="32" t="s">
        <v>153</v>
      </c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142</v>
      </c>
      <c r="B3" s="14">
        <f>COUNTIFS('Sales Log'!$I$14:$I$213,"No")/B4</f>
        <v>5.2631578947368418E-2</v>
      </c>
      <c r="C3" s="14" t="e">
        <f>COUNTIFS('Sales Log'!$I$14:$I$213,"No",'Sales Log'!$U$14:$U$213,'Scoreboard DM'!C2)/C4</f>
        <v>#DIV/0!</v>
      </c>
      <c r="D3" s="14">
        <f>COUNTIFS('Sales Log'!$I$14:$I$213,"No",'Sales Log'!$U$14:$U$213,'Scoreboard DM'!D2)/D4</f>
        <v>5.2631578947368418E-2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125</v>
      </c>
      <c r="B4" s="6">
        <f>'Sales Log'!D214</f>
        <v>19</v>
      </c>
      <c r="C4" s="40">
        <f>COUNTIF('Sales Log'!$U$14:$U$213,C2)</f>
        <v>0</v>
      </c>
      <c r="D4" s="40">
        <f>COUNTIF('Sales Log'!$U$14:$U$213,D2)</f>
        <v>19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126</v>
      </c>
      <c r="B5" s="7">
        <f>'Sales Log'!$F$214</f>
        <v>41.842105263157897</v>
      </c>
      <c r="C5" s="24" t="e">
        <f ca="1">AVERAGEIF('Sales Log'!$U$14:$U$213,C2,'Sales Log'!$F$14:$F$209)</f>
        <v>#DIV/0!</v>
      </c>
      <c r="D5" s="24">
        <f ca="1">AVERAGEIF('Sales Log'!$U$14:$U$213,D2,'Sales Log'!$F$14:$F$209)</f>
        <v>41.842105263157897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127</v>
      </c>
      <c r="B6" s="8">
        <f>'Sales Log'!$J$214</f>
        <v>53500.473684210527</v>
      </c>
      <c r="C6" s="8" t="e">
        <f>AVERAGEIF('Sales Log'!$U$14:$U$213,C2,'Sales Log'!$J$14:$J$213)</f>
        <v>#DIV/0!</v>
      </c>
      <c r="D6" s="8">
        <f>AVERAGEIF('Sales Log'!$U$14:$U$213,D2,'Sales Log'!$J$14:$J$213)</f>
        <v>53500.473684210527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128</v>
      </c>
      <c r="B7" s="8">
        <f>'Sales Log'!$K$214</f>
        <v>52228.473684210527</v>
      </c>
      <c r="C7" s="8" t="e">
        <f>AVERAGEIF('Sales Log'!$U$14:$U$213,C2,'Sales Log'!$K$14:$K$213)</f>
        <v>#DIV/0!</v>
      </c>
      <c r="D7" s="8">
        <f>AVERAGEIF('Sales Log'!$U$14:$U$213,D2,'Sales Log'!$K$14:$K$213)</f>
        <v>52228.473684210527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129</v>
      </c>
      <c r="B8" s="8">
        <f>'Sales Log'!$M$214</f>
        <v>53026.030255607722</v>
      </c>
      <c r="C8" s="8" t="e">
        <f>AVERAGEIF('Sales Log'!$U$14:$U$213,C2,'Sales Log'!$M$14:$M$213)</f>
        <v>#DIV/0!</v>
      </c>
      <c r="D8" s="8">
        <f>AVERAGEIF('Sales Log'!$U$14:$U$213,D2,'Sales Log'!$M$14:$M$213)</f>
        <v>52759.63642914113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130</v>
      </c>
      <c r="B9" s="9">
        <f>'Sales Log'!L214</f>
        <v>1.0089473684210526</v>
      </c>
      <c r="C9" s="14" t="e">
        <f>C6/C8</f>
        <v>#DIV/0!</v>
      </c>
      <c r="D9" s="14">
        <f t="shared" ref="D9:M9" si="0">D6/D8</f>
        <v>1.0140417429916215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131</v>
      </c>
      <c r="B10" s="9">
        <f>'Sales Log'!$N$214</f>
        <v>0.98495914992028188</v>
      </c>
      <c r="C10" s="14" t="e">
        <f>C7/C8</f>
        <v>#DIV/0!</v>
      </c>
      <c r="D10" s="14">
        <f t="shared" ref="D10:M10" si="1">D7/D8</f>
        <v>0.98993240323700904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132</v>
      </c>
      <c r="B11" s="8">
        <f>'Sales Log'!$O$214</f>
        <v>1272</v>
      </c>
      <c r="C11" s="8" t="e">
        <f>AVERAGEIF('Sales Log'!$U$14:$U$213,C2,'Sales Log'!$O$14:$O$213)</f>
        <v>#DIV/0!</v>
      </c>
      <c r="D11" s="8">
        <f>AVERAGEIF('Sales Log'!$U$14:$U$213,D2,'Sales Log'!$O$14:$O$213)</f>
        <v>1272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133</v>
      </c>
      <c r="B12" s="8">
        <f>'Sales Log'!$P$214</f>
        <v>2991.6315789473683</v>
      </c>
      <c r="C12" s="8" t="e">
        <f>AVERAGEIF('Sales Log'!$U$14:$U$213,C2,'Sales Log'!$P$14:$P$213)</f>
        <v>#DIV/0!</v>
      </c>
      <c r="D12" s="8">
        <f>AVERAGEIF('Sales Log'!$U$14:$U$213,D2,'Sales Log'!$P$14:$P$213)</f>
        <v>2991.6315789473683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134</v>
      </c>
      <c r="B13" s="8">
        <f>'Sales Log'!$Q$214</f>
        <v>895.68421052631584</v>
      </c>
      <c r="C13" s="8" t="e">
        <f>AVERAGEIF('Sales Log'!$U$14:$U$213,C2,'Sales Log'!$Q$14:$Q$213)</f>
        <v>#DIV/0!</v>
      </c>
      <c r="D13" s="8">
        <f>AVERAGEIF('Sales Log'!$U$14:$U$213,D2,'Sales Log'!$Q$14:$Q$213)</f>
        <v>895.68421052631584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135</v>
      </c>
      <c r="B14" s="8">
        <f>'Sales Log'!$R$214</f>
        <v>3887.3157894736842</v>
      </c>
      <c r="C14" s="8" t="e">
        <f>AVERAGEIF('Sales Log'!$U$14:$U$213,C2,'Sales Log'!$R$14:$R$213)</f>
        <v>#DIV/0!</v>
      </c>
      <c r="D14" s="8">
        <f>AVERAGEIF('Sales Log'!$U$14:$U$213,D2,'Sales Log'!$R$14:$R$213)</f>
        <v>3887.3157894736842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136</v>
      </c>
      <c r="B15" s="10">
        <f>B14*B4</f>
        <v>73859</v>
      </c>
      <c r="C15" s="10" t="e">
        <f>C14*C4</f>
        <v>#DIV/0!</v>
      </c>
      <c r="D15" s="10">
        <f t="shared" ref="D15:F15" si="2">D14*D4</f>
        <v>73859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90</v>
      </c>
      <c r="B16" s="9">
        <f>(B14/(B7)*(360/B5))</f>
        <v>0.64037071249454292</v>
      </c>
      <c r="C16" s="9" t="e">
        <f t="shared" ref="C16:M16" ca="1" si="5">(C14/(C7)*(360/C5))</f>
        <v>#DIV/0!</v>
      </c>
      <c r="D16" s="9">
        <f t="shared" ca="1" si="5"/>
        <v>0.64037071249454292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137</v>
      </c>
      <c r="B17" s="9">
        <f>'Sales Log'!AA214/'Scoreboard Total'!B3</f>
        <v>0.42105263157894735</v>
      </c>
      <c r="C17" s="9" t="e">
        <f>COUNTIFS('Sales Log'!$U$14:$U$213,'Scoreboard DM'!C$2,'Sales Log'!$AA$14:$AA$213,"Yes")/C$4</f>
        <v>#DIV/0!</v>
      </c>
      <c r="D17" s="9">
        <f>COUNTIFS('Sales Log'!$U$14:$U$213,'Scoreboard DM'!D$2,'Sales Log'!$AA$14:$AA$213,"Yes")/D$4</f>
        <v>0.42105263157894735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138</v>
      </c>
      <c r="B18" s="114">
        <f>'Sales Log'!$AB$214</f>
        <v>-78.94736842105263</v>
      </c>
      <c r="C18" s="114" t="e">
        <f>AVERAGEIF('Sales Log'!$U$14:$U$213,C2,'Sales Log'!$AB$14:$AB$213)</f>
        <v>#DIV/0!</v>
      </c>
      <c r="D18" s="114">
        <f>AVERAGEIF('Sales Log'!$U$14:$U$213,D2,'Sales Log'!$AB$14:$AB$213)</f>
        <v>-78.94736842105263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F2" sqref="F2"/>
    </sheetView>
  </sheetViews>
  <sheetFormatPr defaultRowHeight="14.4"/>
  <cols>
    <col min="1" max="1" width="37.5546875" customWidth="1"/>
    <col min="2" max="2" width="13.44140625" customWidth="1"/>
    <col min="3" max="12" width="19.6640625" customWidth="1"/>
    <col min="13" max="63" width="18.44140625" customWidth="1"/>
  </cols>
  <sheetData>
    <row r="1" spans="1:63" ht="22.5" customHeight="1" thickBot="1">
      <c r="A1" s="20" t="s">
        <v>139</v>
      </c>
      <c r="B1" s="21"/>
      <c r="C1" s="43" t="s">
        <v>140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143</v>
      </c>
      <c r="B2" s="22" t="s">
        <v>141</v>
      </c>
      <c r="C2" s="31" t="s">
        <v>153</v>
      </c>
      <c r="D2" s="31" t="s">
        <v>154</v>
      </c>
      <c r="E2" s="31" t="s">
        <v>155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142</v>
      </c>
      <c r="B3" s="14">
        <f>COUNTIFS('Sales Log'!$I$14:$I$213,"No")/B4</f>
        <v>5.2631578947368418E-2</v>
      </c>
      <c r="C3" s="14">
        <f>COUNTIFS('Sales Log'!$I$14:$I$213,"No",'Sales Log'!$T$14:$T$213,C2)/C4</f>
        <v>0</v>
      </c>
      <c r="D3" s="14">
        <f>COUNTIFS('Sales Log'!$I$14:$I$213,"No",'Sales Log'!$T$14:$T$213,D2)/D4</f>
        <v>0.33333333333333331</v>
      </c>
      <c r="E3" s="14">
        <f>COUNTIFS('Sales Log'!$I$14:$I$213,"No",'Sales Log'!$T$14:$T$213,E2)/E4</f>
        <v>0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125</v>
      </c>
      <c r="B4" s="6">
        <f>'Scoreboard Total'!B3</f>
        <v>19</v>
      </c>
      <c r="C4" s="39">
        <f>COUNTIF('Sales Log'!$T$14:$T$213,C2)</f>
        <v>14</v>
      </c>
      <c r="D4" s="39">
        <f>COUNTIF('Sales Log'!$T$14:$T$213,D2)</f>
        <v>3</v>
      </c>
      <c r="E4" s="39">
        <f>COUNTIF('Sales Log'!$T$14:$T$213,E2)</f>
        <v>2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126</v>
      </c>
      <c r="B5" s="7">
        <f>'Sales Log'!$F$214</f>
        <v>41.842105263157897</v>
      </c>
      <c r="C5" s="24">
        <f ca="1">AVERAGEIF('Sales Log'!$T$14:$T$213,C2,'Sales Log'!$F$14:$F$209)</f>
        <v>39.714285714285715</v>
      </c>
      <c r="D5" s="24">
        <f ca="1">AVERAGEIF('Sales Log'!$T$14:$T$213,D2,'Sales Log'!$F$14:$F$209)</f>
        <v>24</v>
      </c>
      <c r="E5" s="24">
        <f ca="1">AVERAGEIF('Sales Log'!$T$14:$T$213,E2,'Sales Log'!$F$14:$F$209)</f>
        <v>83.5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127</v>
      </c>
      <c r="B6" s="8">
        <f>'Sales Log'!$J$214</f>
        <v>53500.473684210527</v>
      </c>
      <c r="C6" s="8">
        <f>AVERAGEIF('Sales Log'!$T$14:$T$213,C2,'Sales Log'!$J$14:$J$213)</f>
        <v>58174.928571428572</v>
      </c>
      <c r="D6" s="8">
        <f>AVERAGEIF('Sales Log'!$T$14:$T$213,D2,'Sales Log'!$J$14:$J$213)</f>
        <v>45206.666666666664</v>
      </c>
      <c r="E6" s="8">
        <f>AVERAGEIF('Sales Log'!$T$14:$T$213,E2,'Sales Log'!$J$14:$J$213)</f>
        <v>33220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128</v>
      </c>
      <c r="B7" s="8">
        <f>'Sales Log'!$K$214</f>
        <v>52228.473684210527</v>
      </c>
      <c r="C7" s="8">
        <f>AVERAGEIF('Sales Log'!$T$14:$T$213,C2,'Sales Log'!$K$14:$K$213)</f>
        <v>56590.071428571428</v>
      </c>
      <c r="D7" s="8">
        <f>AVERAGEIF('Sales Log'!$T$14:$T$213,D2,'Sales Log'!$K$14:$K$213)</f>
        <v>44746.666666666664</v>
      </c>
      <c r="E7" s="8">
        <f>AVERAGEIF('Sales Log'!$T$14:$T$213,E2,'Sales Log'!$K$14:$K$213)</f>
        <v>32920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129</v>
      </c>
      <c r="B8" s="8">
        <f>'Sales Log'!$M$214</f>
        <v>53026.030255607722</v>
      </c>
      <c r="C8" s="8">
        <f>AVERAGEIF('Sales Log'!$T$14:$T$213,C2,'Sales Log'!$M$14:$M$213)</f>
        <v>57747.006234374734</v>
      </c>
      <c r="D8" s="8">
        <f>AVERAGEIF('Sales Log'!$T$14:$T$213,D2,'Sales Log'!$M$14:$M$213)</f>
        <v>43262.108542383998</v>
      </c>
      <c r="E8" s="8">
        <f>AVERAGEIF('Sales Log'!$T$14:$T$213,E2,'Sales Log'!$M$14:$M$213)</f>
        <v>32094.33962264151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130</v>
      </c>
      <c r="B9" s="9">
        <f>'Sales Log'!L214</f>
        <v>1.0089473684210526</v>
      </c>
      <c r="C9" s="14">
        <f>C6/C8</f>
        <v>1.0074102947487364</v>
      </c>
      <c r="D9" s="14">
        <f t="shared" ref="D9:BK9" si="0">D6/D8</f>
        <v>1.0449482974778628</v>
      </c>
      <c r="E9" s="14">
        <f t="shared" si="0"/>
        <v>1.0350734861845974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131</v>
      </c>
      <c r="B10" s="9">
        <f>'Sales Log'!$N$214</f>
        <v>0.98495914992028188</v>
      </c>
      <c r="C10" s="14">
        <f>C7/C8</f>
        <v>0.97996545827661241</v>
      </c>
      <c r="D10" s="14">
        <f t="shared" ref="D10:BK10" si="1">D7/D8</f>
        <v>1.0343154361703901</v>
      </c>
      <c r="E10" s="14">
        <f t="shared" si="1"/>
        <v>1.0257260435038213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132</v>
      </c>
      <c r="B11" s="8">
        <f>'Sales Log'!$O$214</f>
        <v>1272</v>
      </c>
      <c r="C11" s="8">
        <f>AVERAGEIF('Sales Log'!$T$14:$T$213,C2,'Sales Log'!$O$14:$O$213)</f>
        <v>1584.8571428571429</v>
      </c>
      <c r="D11" s="8">
        <f>AVERAGEIF('Sales Log'!$T$14:$T$213,D2,'Sales Log'!$O$14:$O$213)</f>
        <v>460</v>
      </c>
      <c r="E11" s="8">
        <f>AVERAGEIF('Sales Log'!$T$14:$T$213,E2,'Sales Log'!$O$14:$O$213)</f>
        <v>300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133</v>
      </c>
      <c r="B12" s="8">
        <f>'Sales Log'!$P$214</f>
        <v>2991.6315789473683</v>
      </c>
      <c r="C12" s="8">
        <f>AVERAGEIF('Sales Log'!$T$14:$T$213,C2,'Sales Log'!$P$14:$P$213)</f>
        <v>3240.0714285714284</v>
      </c>
      <c r="D12" s="8">
        <f>AVERAGEIF('Sales Log'!$T$14:$T$213,D2,'Sales Log'!$P$14:$P$213)</f>
        <v>2932</v>
      </c>
      <c r="E12" s="8">
        <f>AVERAGEIF('Sales Log'!$T$14:$T$213,E2,'Sales Log'!$P$14:$P$213)</f>
        <v>1342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134</v>
      </c>
      <c r="B13" s="8">
        <f>'Sales Log'!$Q$214</f>
        <v>895.68421052631584</v>
      </c>
      <c r="C13" s="8">
        <f>AVERAGEIF('Sales Log'!$T$14:$T$213,C2,'Sales Log'!$Q$14:$Q$213)</f>
        <v>934.14285714285711</v>
      </c>
      <c r="D13" s="8">
        <f>AVERAGEIF('Sales Log'!$T$14:$T$213,D2,'Sales Log'!$Q$14:$Q$213)</f>
        <v>751.66666666666663</v>
      </c>
      <c r="E13" s="8">
        <f>AVERAGEIF('Sales Log'!$T$14:$T$213,E2,'Sales Log'!$Q$14:$Q$213)</f>
        <v>842.5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135</v>
      </c>
      <c r="B14" s="8">
        <f>'Sales Log'!$R$214</f>
        <v>3887.3157894736842</v>
      </c>
      <c r="C14" s="8">
        <f>AVERAGEIF('Sales Log'!$T$14:$T$213,C2,'Sales Log'!$R$14:$R$213)</f>
        <v>4174.2142857142853</v>
      </c>
      <c r="D14" s="8">
        <f>AVERAGEIF('Sales Log'!$T$14:$T$213,D2,'Sales Log'!$R$14:$R$213)</f>
        <v>3683.6666666666665</v>
      </c>
      <c r="E14" s="8">
        <f>AVERAGEIF('Sales Log'!$T$14:$T$213,E2,'Sales Log'!$R$14:$R$213)</f>
        <v>2184.5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136</v>
      </c>
      <c r="B15" s="10">
        <f>B14*B4</f>
        <v>73859</v>
      </c>
      <c r="C15" s="10">
        <f>C14*C4</f>
        <v>58438.999999999993</v>
      </c>
      <c r="D15" s="10">
        <f t="shared" ref="D15:L15" si="2">D14*D4</f>
        <v>11051</v>
      </c>
      <c r="E15" s="10">
        <f t="shared" si="2"/>
        <v>4369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90</v>
      </c>
      <c r="B16" s="9">
        <f>(B14/(B7)*(360/B5))</f>
        <v>0.64037071249454292</v>
      </c>
      <c r="C16" s="9">
        <f t="shared" ref="C16:BK16" ca="1" si="10">(C14/(C7)*(360/C5))</f>
        <v>0.66863674993958422</v>
      </c>
      <c r="D16" s="9">
        <f t="shared" ca="1" si="10"/>
        <v>1.2348405840286054</v>
      </c>
      <c r="E16" s="9">
        <f t="shared" ca="1" si="10"/>
        <v>0.28609366928354713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137</v>
      </c>
      <c r="B17" s="9">
        <f>'Sales Log'!AA214/'Scoreboard Total'!B3</f>
        <v>0.42105263157894735</v>
      </c>
      <c r="C17" s="9">
        <f>COUNTIFS('Sales Log'!$T$14:$T$213,C2,'Sales Log'!$AA$14:$AA$213,"Yes")/C$4</f>
        <v>0.5</v>
      </c>
      <c r="D17" s="9">
        <f>COUNTIFS('Sales Log'!$T$14:$T$213,D2,'Sales Log'!$AA$14:$AA$213,"Yes")/D$4</f>
        <v>0.33333333333333331</v>
      </c>
      <c r="E17" s="9">
        <f>COUNTIFS('Sales Log'!$T$14:$T$213,E2,'Sales Log'!$AA$14:$AA$213,"Yes")/E$4</f>
        <v>0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138</v>
      </c>
      <c r="B18" s="114">
        <f>'Sales Log'!$AB$214</f>
        <v>-78.94736842105263</v>
      </c>
      <c r="C18" s="114">
        <f>AVERAGEIF('Sales Log'!$T$14:$T$213,C2,'Sales Log'!$AB$14:$AB$213)</f>
        <v>35.714285714285715</v>
      </c>
      <c r="D18" s="114">
        <f>AVERAGEIF('Sales Log'!$T$14:$T$213,D2,'Sales Log'!$AB$14:$AB$213)</f>
        <v>-666.66666666666663</v>
      </c>
      <c r="E18" s="114">
        <f>AVERAGEIF('Sales Log'!$T$14:$T$213,E2,'Sales Log'!$AB$14:$AB$213)</f>
        <v>0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4.4"/>
  <cols>
    <col min="1" max="1" width="37.6640625" bestFit="1" customWidth="1"/>
    <col min="2" max="2" width="13.44140625" customWidth="1"/>
    <col min="3" max="12" width="19.6640625" customWidth="1"/>
  </cols>
  <sheetData>
    <row r="1" spans="1:12" ht="22.5" customHeight="1">
      <c r="A1" s="20" t="s">
        <v>139</v>
      </c>
      <c r="B1" s="21"/>
      <c r="C1" s="43" t="s">
        <v>140</v>
      </c>
    </row>
    <row r="2" spans="1:12" ht="22.5" customHeight="1">
      <c r="A2" s="22" t="s">
        <v>93</v>
      </c>
      <c r="B2" s="22" t="s">
        <v>141</v>
      </c>
      <c r="C2" s="29" t="s">
        <v>153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142</v>
      </c>
      <c r="B3" s="14">
        <f>COUNTIFS('Sales Log'!$I$14:$I$213,"No")/B4</f>
        <v>5.2631578947368418E-2</v>
      </c>
      <c r="C3" s="14">
        <f>COUNTIFS('Sales Log'!$I$14:$I$213,"No",'Sales Log'!$V$14:$V$213,C2)/C4</f>
        <v>5.2631578947368418E-2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125</v>
      </c>
      <c r="B4" s="6">
        <f>'Scoreboard Total'!B3</f>
        <v>19</v>
      </c>
      <c r="C4" s="39">
        <f>COUNTIF('Sales Log'!$V$14:$V$213,C2)</f>
        <v>19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126</v>
      </c>
      <c r="B5" s="7">
        <f>'Sales Log'!$F$214</f>
        <v>41.842105263157897</v>
      </c>
      <c r="C5" s="24">
        <f ca="1">AVERAGEIF('Sales Log'!$V$14:$V$213,C2,'Sales Log'!$F$14:$F$209)</f>
        <v>41.842105263157897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127</v>
      </c>
      <c r="B6" s="8">
        <f>'Sales Log'!$J$214</f>
        <v>53500.473684210527</v>
      </c>
      <c r="C6" s="8">
        <f>AVERAGEIF('Sales Log'!$V$14:$V$213,C2,'Sales Log'!$J$14:$J$213)</f>
        <v>53500.473684210527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128</v>
      </c>
      <c r="B7" s="8">
        <f>'Sales Log'!$K$214</f>
        <v>52228.473684210527</v>
      </c>
      <c r="C7" s="8">
        <f>AVERAGEIF('Sales Log'!$V$14:$V$213,C2,'Sales Log'!$K$14:$K$213)</f>
        <v>52228.473684210527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129</v>
      </c>
      <c r="B8" s="8">
        <f>'Sales Log'!$M$214</f>
        <v>53026.030255607722</v>
      </c>
      <c r="C8" s="8">
        <f>AVERAGEIF('Sales Log'!$V$14:$V$213,C2,'Sales Log'!$M$14:$M$213)</f>
        <v>52759.63642914113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130</v>
      </c>
      <c r="B9" s="9">
        <f>'Sales Log'!L214</f>
        <v>1.0089473684210526</v>
      </c>
      <c r="C9" s="14">
        <f>C6/C8</f>
        <v>1.0140417429916215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131</v>
      </c>
      <c r="B10" s="9">
        <f>'Sales Log'!$N$214</f>
        <v>0.98495914992028188</v>
      </c>
      <c r="C10" s="14">
        <f>C7/C8</f>
        <v>0.98993240323700904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132</v>
      </c>
      <c r="B11" s="8">
        <f>'Sales Log'!$O$214</f>
        <v>1272</v>
      </c>
      <c r="C11" s="8">
        <f>AVERAGEIF('Sales Log'!$V$14:$V$213,C2,'Sales Log'!$O$14:$O$213)</f>
        <v>1272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133</v>
      </c>
      <c r="B12" s="8">
        <f>'Sales Log'!$P$214</f>
        <v>2991.6315789473683</v>
      </c>
      <c r="C12" s="8">
        <f>AVERAGEIF('Sales Log'!$V$14:$V$213,C2,'Sales Log'!$P$14:$P$213)</f>
        <v>2991.6315789473683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134</v>
      </c>
      <c r="B13" s="8">
        <f>'Sales Log'!$Q$214</f>
        <v>895.68421052631584</v>
      </c>
      <c r="C13" s="8">
        <f>AVERAGEIF('Sales Log'!$V$14:$V$213,C2,'Sales Log'!$Q$14:$Q$213)</f>
        <v>895.68421052631584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135</v>
      </c>
      <c r="B14" s="8">
        <f>'Sales Log'!$R$214</f>
        <v>3887.3157894736842</v>
      </c>
      <c r="C14" s="8">
        <f>AVERAGEIF('Sales Log'!$V$14:$V$213,C2,'Sales Log'!$R$14:$R$213)</f>
        <v>3887.3157894736842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136</v>
      </c>
      <c r="B15" s="10">
        <f t="shared" ref="B15:L15" si="2">B14*B4</f>
        <v>73859</v>
      </c>
      <c r="C15" s="10">
        <f t="shared" si="2"/>
        <v>73859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90</v>
      </c>
      <c r="B16" s="9">
        <f>(B14/(B7)*(360/B5))</f>
        <v>0.64037071249454292</v>
      </c>
      <c r="C16" s="9">
        <f t="shared" ref="C16:L16" ca="1" si="3">(C14/(C7)*(360/C5))</f>
        <v>0.64037071249454292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137</v>
      </c>
      <c r="B17" s="9">
        <f>'Sales Log'!AA214/'Scoreboard Total'!B3</f>
        <v>0.42105263157894735</v>
      </c>
      <c r="C17" s="9">
        <f>COUNTIFS('Sales Log'!$V$14:$V$213,'Scoreboard DM'!C$2,'Sales Log'!$AA$14:$AA$213,"Yes")/C$4</f>
        <v>0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138</v>
      </c>
      <c r="B18" s="114">
        <f>'Sales Log'!$AB$214</f>
        <v>-78.94736842105263</v>
      </c>
      <c r="C18" s="114">
        <f>AVERAGEIF('Sales Log'!$V$14:$V$213,C2,'Sales Log'!$AB$14:$AB$213)</f>
        <v>-78.94736842105263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79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19</v>
      </c>
      <c r="C3" s="6">
        <f>COUNTIF('Sales Log'!$H$14:$H$213,C2)</f>
        <v>10</v>
      </c>
      <c r="D3" s="6">
        <f>COUNTIF('Sales Log'!$H$14:$H$213,D2)</f>
        <v>9</v>
      </c>
    </row>
    <row r="4" spans="1:4" ht="22.5" customHeight="1">
      <c r="A4" s="5" t="s">
        <v>126</v>
      </c>
      <c r="B4" s="7">
        <f>'Sales Log'!$F$214</f>
        <v>41.842105263157897</v>
      </c>
      <c r="C4" s="24">
        <f ca="1">AVERAGEIF('Sales Log'!$H$14:$H$213,C2,'Sales Log'!$F$14:$F$209)</f>
        <v>29.3</v>
      </c>
      <c r="D4" s="24">
        <f ca="1">AVERAGEIF('Sales Log'!$H$14:$H$213,D2,'Sales Log'!$F$14:$F$209)</f>
        <v>55.777777777777779</v>
      </c>
    </row>
    <row r="5" spans="1:4" ht="22.5" customHeight="1">
      <c r="A5" s="5" t="s">
        <v>127</v>
      </c>
      <c r="B5" s="8">
        <f>'Sales Log'!$J$214</f>
        <v>53500.473684210527</v>
      </c>
      <c r="C5" s="8">
        <f>AVERAGEIF('Sales Log'!$H$14:$H$213,C2,'Sales Log'!J14:J213)</f>
        <v>65603.899999999994</v>
      </c>
      <c r="D5" s="8">
        <f>AVERAGEIF('Sales Log'!$H$14:$H$213,D2,'Sales Log'!K14:K213)</f>
        <v>39121.111111111109</v>
      </c>
    </row>
    <row r="6" spans="1:4" ht="22.5" customHeight="1">
      <c r="A6" s="5" t="s">
        <v>128</v>
      </c>
      <c r="B6" s="8">
        <f>'Sales Log'!$K$214</f>
        <v>52228.473684210527</v>
      </c>
      <c r="C6" s="8">
        <f>AVERAGEIF('Sales Log'!$H$14:$H$213,C2,'Sales Log'!$K$14:$K$213)</f>
        <v>64025.1</v>
      </c>
      <c r="D6" s="8">
        <f>AVERAGEIF('Sales Log'!$H$14:$H$213,D2,'Sales Log'!$K$14:$K$213)</f>
        <v>39121.111111111109</v>
      </c>
    </row>
    <row r="7" spans="1:4" ht="22.5" customHeight="1">
      <c r="A7" s="5" t="s">
        <v>129</v>
      </c>
      <c r="B7" s="8">
        <f>'Sales Log'!$M$214</f>
        <v>53026.030255607722</v>
      </c>
      <c r="C7" s="8">
        <f>AVERAGEIF('Sales Log'!$H$14:$H$213,C2,'Sales Log'!$M$14:$M$213)</f>
        <v>64649.203743785059</v>
      </c>
      <c r="D7" s="8">
        <f>AVERAGEIF('Sales Log'!$H$14:$H$213,D2,'Sales Log'!$M$14:$M$213)</f>
        <v>39549.006079536761</v>
      </c>
    </row>
    <row r="8" spans="1:4" ht="22.5" customHeight="1">
      <c r="A8" s="5" t="s">
        <v>130</v>
      </c>
      <c r="B8" s="9">
        <f>'Sales Log'!L214</f>
        <v>1.0089473684210526</v>
      </c>
      <c r="C8" s="14">
        <f>C5/C7</f>
        <v>1.014767332015388</v>
      </c>
      <c r="D8" s="14">
        <f>D5/D7</f>
        <v>0.9891806391400807</v>
      </c>
    </row>
    <row r="9" spans="1:4" ht="22.5" customHeight="1">
      <c r="A9" s="5" t="s">
        <v>131</v>
      </c>
      <c r="B9" s="9">
        <f>'Sales Log'!$N$214</f>
        <v>0.98495914992028188</v>
      </c>
      <c r="C9" s="14">
        <f>C6/C7</f>
        <v>0.99034630424438819</v>
      </c>
      <c r="D9" s="14">
        <f>D6/D7</f>
        <v>0.9891806391400807</v>
      </c>
    </row>
    <row r="10" spans="1:4" ht="22.5" customHeight="1">
      <c r="A10" s="5" t="s">
        <v>132</v>
      </c>
      <c r="B10" s="8">
        <f>'Sales Log'!$O$214</f>
        <v>1272</v>
      </c>
      <c r="C10" s="8">
        <f>AVERAGEIF('Sales Log'!$H$14:$H$213,C2,'Sales Log'!$O$14:$O$213)</f>
        <v>1578.8</v>
      </c>
      <c r="D10" s="8">
        <f>AVERAGEIF('Sales Log'!$H$14:$H$213,D2,'Sales Log'!$O$14:$O$213)</f>
        <v>931.11111111111109</v>
      </c>
    </row>
    <row r="11" spans="1:4" ht="22.5" customHeight="1">
      <c r="A11" s="5" t="s">
        <v>133</v>
      </c>
      <c r="B11" s="8">
        <f>'Sales Log'!$P$214</f>
        <v>2991.6315789473683</v>
      </c>
      <c r="C11" s="8">
        <f>AVERAGEIF('Sales Log'!$H$14:$H$213,C2,'Sales Log'!$P$14:$P$213)</f>
        <v>3489.7</v>
      </c>
      <c r="D11" s="8">
        <f>AVERAGEIF('Sales Log'!$H$14:$H$213,D2,'Sales Log'!$P$14:$P$213)</f>
        <v>2438.2222222222222</v>
      </c>
    </row>
    <row r="12" spans="1:4" ht="22.5" customHeight="1">
      <c r="A12" s="5" t="s">
        <v>134</v>
      </c>
      <c r="B12" s="8">
        <f>'Sales Log'!$Q$214</f>
        <v>895.68421052631584</v>
      </c>
      <c r="C12" s="8">
        <f>AVERAGEIF('Sales Log'!$H$14:$H$213,C2,'Sales Log'!$Q$14:$Q$213)</f>
        <v>1136.8</v>
      </c>
      <c r="D12" s="8">
        <f>AVERAGEIF('Sales Log'!$H$14:$H$213,D2,'Sales Log'!$Q$14:$Q$213)</f>
        <v>627.77777777777783</v>
      </c>
    </row>
    <row r="13" spans="1:4" ht="22.5" customHeight="1">
      <c r="A13" s="5" t="s">
        <v>135</v>
      </c>
      <c r="B13" s="8">
        <f>'Sales Log'!$R$214</f>
        <v>3887.3157894736842</v>
      </c>
      <c r="C13" s="8">
        <f>AVERAGEIF('Sales Log'!$H$14:$H$213,C2,'Sales Log'!$R$14:$R$213)</f>
        <v>4626.5</v>
      </c>
      <c r="D13" s="8">
        <f>AVERAGEIF('Sales Log'!$H$14:$H$213,D2,'Sales Log'!$R$14:$R$213)</f>
        <v>3066</v>
      </c>
    </row>
    <row r="14" spans="1:4" ht="22.5" customHeight="1">
      <c r="A14" s="5" t="s">
        <v>136</v>
      </c>
      <c r="B14" s="10">
        <f>B13*B3</f>
        <v>73859</v>
      </c>
      <c r="C14" s="10">
        <f>C13*C3</f>
        <v>46265</v>
      </c>
      <c r="D14" s="10">
        <f t="shared" ref="D14" si="0">D13*D3</f>
        <v>27594</v>
      </c>
    </row>
    <row r="15" spans="1:4" ht="22.5" customHeight="1">
      <c r="A15" s="5" t="s">
        <v>90</v>
      </c>
      <c r="B15" s="9">
        <f>(B13/(B6)*(360/B4))</f>
        <v>0.64037071249454292</v>
      </c>
      <c r="C15" s="9">
        <f t="shared" ref="C15:D15" ca="1" si="1">(C13/(C6)*(360/C4))</f>
        <v>0.88784505765211763</v>
      </c>
      <c r="D15" s="9">
        <f t="shared" ca="1" si="1"/>
        <v>0.50582729719028963</v>
      </c>
    </row>
    <row r="16" spans="1:4" ht="22.5" customHeight="1">
      <c r="A16" s="5" t="s">
        <v>137</v>
      </c>
      <c r="B16" s="9">
        <f>'Sales Log'!AA214/'Scoreboard Total'!B3</f>
        <v>0.42105263157894735</v>
      </c>
      <c r="C16" s="9">
        <f>COUNTIFS('Sales Log'!$H$14:$H$213,C2,'Sales Log'!$AA$14:$AA$213,"Yes")/C$3</f>
        <v>0.4</v>
      </c>
      <c r="D16" s="9">
        <f>COUNTIFS('Sales Log'!$H$14:$H$213,D2,'Sales Log'!$AA$14:$AA$213,"Yes")/D$3</f>
        <v>0.44444444444444442</v>
      </c>
    </row>
    <row r="17" spans="1:4" ht="22.5" customHeight="1">
      <c r="A17" s="5" t="s">
        <v>138</v>
      </c>
      <c r="B17" s="114">
        <f>'Sales Log'!$AB$214</f>
        <v>-78.94736842105263</v>
      </c>
      <c r="C17" s="114">
        <f>AVERAGEIF('Sales Log'!$H$14:$H$213,C2,'Sales Log'!$AB$14:$AB$213)</f>
        <v>-350</v>
      </c>
      <c r="D17" s="114">
        <f>AVERAGEIF('Sales Log'!$H$14:$H$213,D2,'Sales Log'!$AB$14:$AB$213)</f>
        <v>222.22222222222223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4.4"/>
  <cols>
    <col min="1" max="1" width="37.6640625" bestFit="1" customWidth="1"/>
    <col min="2" max="2" width="13.44140625" customWidth="1"/>
    <col min="3" max="3" width="19.6640625" customWidth="1"/>
    <col min="4" max="4" width="20.44140625" customWidth="1"/>
  </cols>
  <sheetData>
    <row r="1" spans="1:4" ht="22.5" customHeight="1">
      <c r="A1" s="25" t="s">
        <v>139</v>
      </c>
      <c r="B1" s="26"/>
      <c r="C1" s="27"/>
      <c r="D1" s="27"/>
    </row>
    <row r="2" spans="1:4" ht="22.5" customHeight="1">
      <c r="A2" s="28" t="s">
        <v>80</v>
      </c>
      <c r="B2" s="28" t="s">
        <v>141</v>
      </c>
      <c r="C2" s="23" t="s">
        <v>108</v>
      </c>
      <c r="D2" s="23" t="s">
        <v>104</v>
      </c>
    </row>
    <row r="3" spans="1:4" ht="22.5" customHeight="1">
      <c r="A3" s="5" t="s">
        <v>125</v>
      </c>
      <c r="B3" s="6">
        <f>'Sales Log'!D214</f>
        <v>19</v>
      </c>
      <c r="C3" s="6">
        <f>COUNTIF('Sales Log'!$I$14:$I$213,C2)</f>
        <v>18</v>
      </c>
      <c r="D3" s="6">
        <f>COUNTIF('Sales Log'!$I$14:$I$213,D2)</f>
        <v>1</v>
      </c>
    </row>
    <row r="4" spans="1:4" ht="22.5" customHeight="1">
      <c r="A4" s="5" t="s">
        <v>126</v>
      </c>
      <c r="B4" s="7">
        <f>'Sales Log'!$F$214</f>
        <v>41.842105263157897</v>
      </c>
      <c r="C4" s="24">
        <f ca="1">AVERAGEIF('Sales Log'!$I$14:$I$213,C2,'Sales Log'!$F$14:$F$209)</f>
        <v>43.611111111111114</v>
      </c>
      <c r="D4" s="24">
        <f ca="1">AVERAGEIF('Sales Log'!$I$14:$I$213,D2,'Sales Log'!$F$14:$F$209)</f>
        <v>10</v>
      </c>
    </row>
    <row r="5" spans="1:4" ht="22.5" customHeight="1">
      <c r="A5" s="5" t="s">
        <v>127</v>
      </c>
      <c r="B5" s="8">
        <f>'Sales Log'!$J$214</f>
        <v>53500.473684210527</v>
      </c>
      <c r="C5" s="8">
        <f>AVERAGEIF('Sales Log'!$I$14:$I$213,C2,'Sales Log'!J14:J213)</f>
        <v>55042.722222222219</v>
      </c>
      <c r="D5" s="8">
        <f>AVERAGEIF('Sales Log'!$I$14:$I$213,D2,'Sales Log'!K14:K213)</f>
        <v>24740</v>
      </c>
    </row>
    <row r="6" spans="1:4" ht="22.5" customHeight="1">
      <c r="A6" s="5" t="s">
        <v>128</v>
      </c>
      <c r="B6" s="8">
        <f>'Sales Log'!$K$214</f>
        <v>52228.473684210527</v>
      </c>
      <c r="C6" s="8">
        <f>AVERAGEIF('Sales Log'!$I$14:$I$213,C2,'Sales Log'!$K$14:$K$213)</f>
        <v>53755.611111111109</v>
      </c>
      <c r="D6" s="8">
        <f>AVERAGEIF('Sales Log'!$I$14:$I$213,D2,'Sales Log'!$K$14:$K$213)</f>
        <v>24740</v>
      </c>
    </row>
    <row r="7" spans="1:4" ht="22.5" customHeight="1">
      <c r="A7" s="5" t="s">
        <v>129</v>
      </c>
      <c r="B7" s="8">
        <f>'Sales Log'!$M$214</f>
        <v>53026.030255607722</v>
      </c>
      <c r="C7" s="8">
        <f>AVERAGEIF('Sales Log'!$I$14:$I$213,C2,'Sales Log'!$M$14:$M$213)</f>
        <v>54185.464183976444</v>
      </c>
      <c r="D7" s="8">
        <f>AVERAGEIF('Sales Log'!$I$14:$I$213,D2,'Sales Log'!$M$14:$M$213)</f>
        <v>27094.736842105263</v>
      </c>
    </row>
    <row r="8" spans="1:4" ht="22.5" customHeight="1">
      <c r="A8" s="5" t="s">
        <v>130</v>
      </c>
      <c r="B8" s="9">
        <f>'Sales Log'!L214</f>
        <v>1.0089473684210526</v>
      </c>
      <c r="C8" s="14">
        <f>C5/C7</f>
        <v>1.0158208119309473</v>
      </c>
      <c r="D8" s="14">
        <f>D5/D7</f>
        <v>0.91309246309246306</v>
      </c>
    </row>
    <row r="9" spans="1:4" ht="22.5" customHeight="1">
      <c r="A9" s="5" t="s">
        <v>131</v>
      </c>
      <c r="B9" s="9">
        <f>'Sales Log'!$N$214</f>
        <v>0.98495914992028188</v>
      </c>
      <c r="C9" s="14">
        <f>C6/C7</f>
        <v>0.9920670039587397</v>
      </c>
      <c r="D9" s="14">
        <f>D6/D7</f>
        <v>0.91309246309246306</v>
      </c>
    </row>
    <row r="10" spans="1:4" ht="22.5" customHeight="1">
      <c r="A10" s="5" t="s">
        <v>132</v>
      </c>
      <c r="B10" s="8">
        <f>'Sales Log'!$O$214</f>
        <v>1272</v>
      </c>
      <c r="C10" s="8">
        <f>AVERAGEIF('Sales Log'!$I$14:$I$213,C2,'Sales Log'!$O$14:$O$213)</f>
        <v>1287.1111111111111</v>
      </c>
      <c r="D10" s="8">
        <f>AVERAGEIF('Sales Log'!$I$14:$I$213,D2,'Sales Log'!$O$14:$O$213)</f>
        <v>1000</v>
      </c>
    </row>
    <row r="11" spans="1:4" ht="22.5" customHeight="1">
      <c r="A11" s="5" t="s">
        <v>133</v>
      </c>
      <c r="B11" s="8">
        <f>'Sales Log'!$P$214</f>
        <v>2991.6315789473683</v>
      </c>
      <c r="C11" s="8">
        <f>AVERAGEIF('Sales Log'!$I$14:$I$213,C2,'Sales Log'!$P$14:$P$213)</f>
        <v>2991.7222222222222</v>
      </c>
      <c r="D11" s="8">
        <f>AVERAGEIF('Sales Log'!$I$14:$I$213,D2,'Sales Log'!$P$14:$P$213)</f>
        <v>2990</v>
      </c>
    </row>
    <row r="12" spans="1:4" ht="22.5" customHeight="1">
      <c r="A12" s="5" t="s">
        <v>134</v>
      </c>
      <c r="B12" s="8">
        <f>'Sales Log'!$Q$214</f>
        <v>895.68421052631584</v>
      </c>
      <c r="C12" s="8">
        <f>AVERAGEIF('Sales Log'!$I$14:$I$213,C2,'Sales Log'!$Q$14:$Q$213)</f>
        <v>923.27777777777783</v>
      </c>
      <c r="D12" s="8">
        <f>AVERAGEIF('Sales Log'!$I$14:$I$213,D2,'Sales Log'!$Q$14:$Q$213)</f>
        <v>399</v>
      </c>
    </row>
    <row r="13" spans="1:4" ht="22.5" customHeight="1">
      <c r="A13" s="5" t="s">
        <v>135</v>
      </c>
      <c r="B13" s="8">
        <f>'Sales Log'!$R$214</f>
        <v>3887.3157894736842</v>
      </c>
      <c r="C13" s="8">
        <f>AVERAGEIF('Sales Log'!$I$14:$I$213,C2,'Sales Log'!$R$14:$R$213)</f>
        <v>3915</v>
      </c>
      <c r="D13" s="8">
        <f>AVERAGEIF('Sales Log'!$I$14:$I$213,D2,'Sales Log'!$R$14:$R$213)</f>
        <v>3389</v>
      </c>
    </row>
    <row r="14" spans="1:4" ht="22.5" customHeight="1">
      <c r="A14" s="5" t="s">
        <v>136</v>
      </c>
      <c r="B14" s="10">
        <f>B13*B3</f>
        <v>73859</v>
      </c>
      <c r="C14" s="10">
        <f>C13*C3</f>
        <v>70470</v>
      </c>
      <c r="D14" s="10">
        <f t="shared" ref="D14" si="0">D13*D3</f>
        <v>3389</v>
      </c>
    </row>
    <row r="15" spans="1:4" ht="22.5" customHeight="1">
      <c r="A15" s="5" t="s">
        <v>90</v>
      </c>
      <c r="B15" s="9">
        <f>(B13/(B6)*(360/B4))</f>
        <v>0.64037071249454292</v>
      </c>
      <c r="C15" s="9">
        <f t="shared" ref="C15:D15" ca="1" si="1">(C13/(C6)*(360/C4))</f>
        <v>0.60119216508394313</v>
      </c>
      <c r="D15" s="9">
        <f t="shared" ca="1" si="1"/>
        <v>4.9314470493128546</v>
      </c>
    </row>
    <row r="16" spans="1:4" ht="22.5" customHeight="1">
      <c r="A16" s="5" t="s">
        <v>137</v>
      </c>
      <c r="B16" s="9">
        <f>'Sales Log'!AA214/'Scoreboard Total'!B3</f>
        <v>0.42105263157894735</v>
      </c>
      <c r="C16" s="9">
        <f>COUNTIFS('Sales Log'!$I$14:$I$213,C2,'Sales Log'!$AA$14:$AA$213,"Yes")/C$3</f>
        <v>0.44444444444444442</v>
      </c>
      <c r="D16" s="9">
        <f>COUNTIFS('Sales Log'!$I$14:$I$213,D2,'Sales Log'!$AA$14:$AA$213,"Yes")/D$3</f>
        <v>0</v>
      </c>
    </row>
    <row r="17" spans="1:4" ht="22.5" customHeight="1">
      <c r="A17" s="5" t="s">
        <v>138</v>
      </c>
      <c r="B17" s="114">
        <f>'Sales Log'!$AB$214</f>
        <v>-78.94736842105263</v>
      </c>
      <c r="C17" s="114">
        <f>AVERAGEIF('Sales Log'!$I$14:$I$213,C2,'Sales Log'!$AB$14:$AB$213)</f>
        <v>-83.333333333333329</v>
      </c>
      <c r="D17" s="114">
        <f>AVERAGEIF('Sales Log'!$I$14:$I$213,D2,'Sales Log'!$AB$14:$AB$213)</f>
        <v>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4.4"/>
  <cols>
    <col min="1" max="1" width="31.33203125" bestFit="1" customWidth="1"/>
    <col min="2" max="2" width="10.6640625" customWidth="1"/>
    <col min="3" max="9" width="20.6640625" customWidth="1"/>
    <col min="10" max="10" width="28.5546875" bestFit="1" customWidth="1"/>
    <col min="11" max="11" width="20.6640625" customWidth="1"/>
  </cols>
  <sheetData>
    <row r="1" spans="1:11" ht="22.5" customHeight="1">
      <c r="A1" s="25" t="s">
        <v>139</v>
      </c>
      <c r="B1" s="21"/>
    </row>
    <row r="2" spans="1:11" ht="22.5" customHeight="1">
      <c r="A2" s="28" t="s">
        <v>144</v>
      </c>
      <c r="B2" s="22" t="s">
        <v>141</v>
      </c>
      <c r="C2" s="32" t="s">
        <v>103</v>
      </c>
      <c r="D2" s="32" t="s">
        <v>110</v>
      </c>
      <c r="E2" s="32" t="s">
        <v>145</v>
      </c>
      <c r="F2" s="32" t="s">
        <v>146</v>
      </c>
      <c r="G2" s="32" t="s">
        <v>115</v>
      </c>
      <c r="H2" s="32" t="s">
        <v>147</v>
      </c>
      <c r="I2" s="32" t="s">
        <v>148</v>
      </c>
      <c r="J2" s="32" t="s">
        <v>119</v>
      </c>
      <c r="K2" s="32" t="s">
        <v>120</v>
      </c>
    </row>
    <row r="3" spans="1:11" ht="22.5" customHeight="1">
      <c r="A3" s="5" t="s">
        <v>125</v>
      </c>
      <c r="B3" s="6">
        <f>'Scoreboard Total'!B3</f>
        <v>19</v>
      </c>
      <c r="C3" s="6">
        <f>COUNTIF('Sales Log'!$G$14:$G$213,'Scoreboard by Source'!C2)</f>
        <v>15</v>
      </c>
      <c r="D3" s="6">
        <f>COUNTIF('Sales Log'!$G$14:$G$213,'Scoreboard by Source'!D2)</f>
        <v>3</v>
      </c>
      <c r="E3" s="6">
        <f>COUNTIF('Sales Log'!$G$14:$G$213,'Scoreboard by Source'!E2)</f>
        <v>0</v>
      </c>
      <c r="F3" s="6">
        <f>COUNTIF('Sales Log'!$G$14:$G$213,'Scoreboard by Source'!F2)</f>
        <v>0</v>
      </c>
      <c r="G3" s="6">
        <f>COUNTIF('Sales Log'!$G$14:$G$213,'Scoreboard by Source'!G2)</f>
        <v>0</v>
      </c>
      <c r="H3" s="6">
        <f>COUNTIF('Sales Log'!$G$14:$G$213,'Scoreboard by Source'!H2)</f>
        <v>0</v>
      </c>
      <c r="I3" s="6">
        <f>COUNTIF('Sales Log'!$G$14:$G$213,'Scoreboard by Source'!I2)</f>
        <v>1</v>
      </c>
      <c r="J3" s="6">
        <f>COUNTIF('Sales Log'!$G$14:$G$213,'Scoreboard by Source'!J2)</f>
        <v>0</v>
      </c>
      <c r="K3" s="6">
        <f>COUNTIF('Sales Log'!$G$14:$G$213,'Scoreboard by Source'!K2)</f>
        <v>0</v>
      </c>
    </row>
    <row r="4" spans="1:11" ht="22.5" customHeight="1">
      <c r="A4" s="5" t="s">
        <v>149</v>
      </c>
      <c r="B4" s="9">
        <f>B3/'Sales Log'!$D$214</f>
        <v>1</v>
      </c>
      <c r="C4" s="9">
        <f>C3/'Sales Log'!$D$214</f>
        <v>0.78947368421052633</v>
      </c>
      <c r="D4" s="9">
        <f>D3/'Sales Log'!$D$214</f>
        <v>0.15789473684210525</v>
      </c>
      <c r="E4" s="9">
        <f>E3/'Sales Log'!$D$214</f>
        <v>0</v>
      </c>
      <c r="F4" s="9">
        <f>F3/'Sales Log'!$D$214</f>
        <v>0</v>
      </c>
      <c r="G4" s="9">
        <f>G3/'Sales Log'!$D$214</f>
        <v>0</v>
      </c>
      <c r="H4" s="9">
        <f>H3/'Sales Log'!$D$214</f>
        <v>0</v>
      </c>
      <c r="I4" s="9">
        <f>I3/'Sales Log'!$D$214</f>
        <v>5.2631578947368418E-2</v>
      </c>
      <c r="J4" s="9">
        <f>J3/'Sales Log'!$D$214</f>
        <v>0</v>
      </c>
      <c r="K4" s="9">
        <f>K3/'Sales Log'!$D$214</f>
        <v>0</v>
      </c>
    </row>
    <row r="5" spans="1:11" ht="22.5" customHeight="1">
      <c r="A5" s="5" t="s">
        <v>142</v>
      </c>
      <c r="B5" s="14">
        <f>COUNTIFS('Sales Log'!$I$14:$I$213,"No")/B3</f>
        <v>5.2631578947368418E-2</v>
      </c>
      <c r="C5" s="14">
        <f>COUNTIFS('Sales Log'!$I$14:$I$213,"No",'Sales Log'!$G$14:$G$213,'Scoreboard by Source'!C2)/C3</f>
        <v>0</v>
      </c>
      <c r="D5" s="14">
        <f>COUNTIFS('Sales Log'!$I$14:$I$213,"No",'Sales Log'!$G$14:$G$213,'Scoreboard by Source'!D2)/D3</f>
        <v>0.33333333333333331</v>
      </c>
      <c r="E5" s="14" t="e">
        <f>COUNTIFS('Sales Log'!$I$14:$I$213,"No",'Sales Log'!$G$14:$G$213,'Scoreboard by Source'!E2)/E3</f>
        <v>#DIV/0!</v>
      </c>
      <c r="F5" s="14" t="e">
        <f>COUNTIFS('Sales Log'!$I$14:$I$213,"No",'Sales Log'!$G$14:$G$213,'Scoreboard by Source'!F2)/F3</f>
        <v>#DIV/0!</v>
      </c>
      <c r="G5" s="14" t="e">
        <f>COUNTIFS('Sales Log'!$I$14:$I$213,"No",'Sales Log'!$G$14:$G$213,'Scoreboard by Source'!G2)/G3</f>
        <v>#DIV/0!</v>
      </c>
      <c r="H5" s="14" t="e">
        <f>COUNTIFS('Sales Log'!$I$14:$I$213,"No",'Sales Log'!$G$14:$G$213,'Scoreboard by Source'!H2)/H3</f>
        <v>#DIV/0!</v>
      </c>
      <c r="I5" s="14">
        <f>COUNTIFS('Sales Log'!$I$14:$I$213,"No",'Sales Log'!$G$14:$G$213,'Scoreboard by Source'!I2)/I3</f>
        <v>0</v>
      </c>
      <c r="J5" s="14" t="e">
        <f>COUNTIFS('Sales Log'!$I$14:$I$213,"No",'Sales Log'!$G$14:$G$213,'Scoreboard by Source'!J2)/J3</f>
        <v>#DIV/0!</v>
      </c>
      <c r="K5" s="14" t="e">
        <f>COUNTIFS('Sales Log'!$I$14:$I$213,"No",'Sales Log'!$G$14:$G$213,'Scoreboard by Source'!K2)/K3</f>
        <v>#DIV/0!</v>
      </c>
    </row>
    <row r="6" spans="1:11" s="4" customFormat="1" ht="21.75" customHeight="1">
      <c r="A6" s="11" t="s">
        <v>126</v>
      </c>
      <c r="B6" s="7">
        <f>'Sales Log'!$F$214</f>
        <v>41.842105263157897</v>
      </c>
      <c r="C6" s="24">
        <f ca="1">AVERAGEIF('Sales Log'!$G$14:$G$213,C2,'Sales Log'!$F$14:$F$209)</f>
        <v>43.8</v>
      </c>
      <c r="D6" s="24">
        <f ca="1">AVERAGEIF('Sales Log'!$G$14:$G$213,D2,'Sales Log'!$F$14:$F$209)</f>
        <v>41.333333333333336</v>
      </c>
      <c r="E6" s="24" t="e">
        <f ca="1">AVERAGEIF('Sales Log'!$G$14:$G$213,E2,'Sales Log'!$F$14:$F$209)</f>
        <v>#DIV/0!</v>
      </c>
      <c r="F6" s="24" t="e">
        <f ca="1">AVERAGEIF('Sales Log'!$G$14:$G$213,F2,'Sales Log'!$F$14:$F$209)</f>
        <v>#DIV/0!</v>
      </c>
      <c r="G6" s="24" t="e">
        <f ca="1">AVERAGEIF('Sales Log'!$G$14:$G$213,G2,'Sales Log'!$F$14:$F$209)</f>
        <v>#DIV/0!</v>
      </c>
      <c r="H6" s="24" t="e">
        <f ca="1">AVERAGEIF('Sales Log'!$G$14:$G$213,H2,'Sales Log'!$F$14:$F$209)</f>
        <v>#DIV/0!</v>
      </c>
      <c r="I6" s="24">
        <f ca="1">AVERAGEIF('Sales Log'!$G$14:$G$213,I2,'Sales Log'!$F$14:$F$209)</f>
        <v>14</v>
      </c>
      <c r="J6" s="24" t="e">
        <f ca="1">AVERAGEIF('Sales Log'!$G$14:$G$213,J2,'Sales Log'!$F$14:$F$209)</f>
        <v>#DIV/0!</v>
      </c>
      <c r="K6" s="24" t="e">
        <f ca="1">AVERAGEIF('Sales Log'!$G$14:$G$213,K2,'Sales Log'!$F$14:$F$209)</f>
        <v>#DIV/0!</v>
      </c>
    </row>
    <row r="7" spans="1:11" ht="22.5" customHeight="1">
      <c r="A7" s="5" t="s">
        <v>128</v>
      </c>
      <c r="B7" s="8">
        <f>'Sales Log'!$K$214</f>
        <v>52228.473684210527</v>
      </c>
      <c r="C7" s="8">
        <f>AVERAGEIF('Sales Log'!$G$14:$G$213,C2,'Sales Log'!$K$14:$K$213)</f>
        <v>55006.73333333333</v>
      </c>
      <c r="D7" s="8">
        <f>AVERAGEIF('Sales Log'!$G$14:$G$213,D2,'Sales Log'!$K$14:$K$213)</f>
        <v>38080</v>
      </c>
      <c r="E7" s="8" t="e">
        <f>AVERAGEIF('Sales Log'!$G$14:$G$213,E2,'Sales Log'!$K$14:$K$213)</f>
        <v>#DIV/0!</v>
      </c>
      <c r="F7" s="8" t="e">
        <f>AVERAGEIF('Sales Log'!$G$14:$G$213,F2,'Sales Log'!$K$14:$K$213)</f>
        <v>#DIV/0!</v>
      </c>
      <c r="G7" s="8" t="e">
        <f>AVERAGEIF('Sales Log'!$G$14:$G$213,G2,'Sales Log'!$K$14:$K$213)</f>
        <v>#DIV/0!</v>
      </c>
      <c r="H7" s="8" t="e">
        <f>AVERAGEIF('Sales Log'!$G$14:$G$213,H2,'Sales Log'!$K$14:$K$213)</f>
        <v>#DIV/0!</v>
      </c>
      <c r="I7" s="8">
        <f>AVERAGEIF('Sales Log'!$G$14:$G$213,I2,'Sales Log'!$K$14:$K$213)</f>
        <v>53000</v>
      </c>
      <c r="J7" s="8" t="e">
        <f>AVERAGEIF('Sales Log'!$G$14:$G$213,J2,'Sales Log'!$K$14:$K$213)</f>
        <v>#DIV/0!</v>
      </c>
      <c r="K7" s="8" t="e">
        <f>AVERAGEIF('Sales Log'!$G$14:$G$213,K2,'Sales Log'!$K$14:$K$213)</f>
        <v>#DIV/0!</v>
      </c>
    </row>
    <row r="8" spans="1:11" ht="22.5" customHeight="1">
      <c r="A8" s="5" t="s">
        <v>150</v>
      </c>
      <c r="B8" s="9">
        <f>'Sales Log'!$N$214</f>
        <v>0.98495914992028188</v>
      </c>
      <c r="C8" s="14">
        <f>AVERAGEIF('Sales Log'!$G$14:$G$213,C2,'Sales Log'!$N14:$N$213)</f>
        <v>0.97941262754708325</v>
      </c>
      <c r="D8" s="14">
        <f>AVERAGEIF('Sales Log'!$G$14:$G$213,D2,'Sales Log'!$N14:$N$213)</f>
        <v>1.003970019164955</v>
      </c>
      <c r="E8" s="14" t="e">
        <f>AVERAGEIF('Sales Log'!$G$14:$G$213,E2,'Sales Log'!$N14:$N$213)</f>
        <v>#DIV/0!</v>
      </c>
      <c r="F8" s="14" t="e">
        <f>AVERAGEIF('Sales Log'!$G$14:$G$213,F2,'Sales Log'!$N14:$N$213)</f>
        <v>#DIV/0!</v>
      </c>
      <c r="G8" s="14" t="e">
        <f>AVERAGEIF('Sales Log'!$G$14:$G$213,G2,'Sales Log'!$N14:$N$213)</f>
        <v>#DIV/0!</v>
      </c>
      <c r="H8" s="14" t="e">
        <f>AVERAGEIF('Sales Log'!$G$14:$G$213,H2,'Sales Log'!$N14:$N$213)</f>
        <v>#DIV/0!</v>
      </c>
      <c r="I8" s="14">
        <f>AVERAGEIF('Sales Log'!$G$14:$G$213,I2,'Sales Log'!$N14:$N$213)</f>
        <v>0.96604717655468186</v>
      </c>
      <c r="J8" s="14" t="e">
        <f>AVERAGEIF('Sales Log'!$G$14:$G$213,J2,'Sales Log'!$N14:$N$213)</f>
        <v>#DIV/0!</v>
      </c>
      <c r="K8" s="14" t="e">
        <f>AVERAGEIF('Sales Log'!$G$14:$G$213,K2,'Sales Log'!$N14:$N$213)</f>
        <v>#DIV/0!</v>
      </c>
    </row>
    <row r="9" spans="1:11" ht="22.5" customHeight="1">
      <c r="A9" s="5" t="s">
        <v>132</v>
      </c>
      <c r="B9" s="8">
        <f>'Sales Log'!$O$214</f>
        <v>1272</v>
      </c>
      <c r="C9" s="8">
        <f>AVERAGEIF('Sales Log'!$G$14:$G$213,C2,'Sales Log'!$O$14:$O$213)</f>
        <v>1262.5333333333333</v>
      </c>
      <c r="D9" s="8">
        <f>AVERAGEIF('Sales Log'!$G$14:$G$213,D2,'Sales Log'!$O$14:$O$213)</f>
        <v>756.66666666666663</v>
      </c>
      <c r="E9" s="8" t="e">
        <f>AVERAGEIF('Sales Log'!$G$14:$G$213,E2,'Sales Log'!$O$14:$O$213)</f>
        <v>#DIV/0!</v>
      </c>
      <c r="F9" s="8" t="e">
        <f>AVERAGEIF('Sales Log'!$G$14:$G$213,F2,'Sales Log'!$O$14:$O$213)</f>
        <v>#DIV/0!</v>
      </c>
      <c r="G9" s="8" t="e">
        <f>AVERAGEIF('Sales Log'!$G$14:$G$213,G2,'Sales Log'!$O$14:$O$213)</f>
        <v>#DIV/0!</v>
      </c>
      <c r="H9" s="8" t="e">
        <f>AVERAGEIF('Sales Log'!$G$14:$G$213,H2,'Sales Log'!$O$14:$O$213)</f>
        <v>#DIV/0!</v>
      </c>
      <c r="I9" s="8">
        <f>AVERAGEIF('Sales Log'!$G$14:$G$213,I2,'Sales Log'!$O$14:$O$213)</f>
        <v>2960</v>
      </c>
      <c r="J9" s="8" t="e">
        <f>AVERAGEIF('Sales Log'!$G$14:$G$213,J2,'Sales Log'!$O$14:$O$213)</f>
        <v>#DIV/0!</v>
      </c>
      <c r="K9" s="8" t="e">
        <f>AVERAGEIF('Sales Log'!$G$14:$G$213,K2,'Sales Log'!$O$14:$O$213)</f>
        <v>#DIV/0!</v>
      </c>
    </row>
    <row r="10" spans="1:11" ht="22.5" customHeight="1">
      <c r="A10" s="5" t="s">
        <v>151</v>
      </c>
      <c r="B10" s="8">
        <f>'Sales Log'!$P$214</f>
        <v>2991.6315789473683</v>
      </c>
      <c r="C10" s="8">
        <f>AVERAGEIF('Sales Log'!$G$14:$G$213,C2,'Sales Log'!$P$14:$P$213)</f>
        <v>2796.2</v>
      </c>
      <c r="D10" s="8">
        <f>AVERAGEIF('Sales Log'!$G$14:$G$213,D2,'Sales Log'!$P$14:$P$213)</f>
        <v>2772.3333333333335</v>
      </c>
      <c r="E10" s="8" t="e">
        <f>AVERAGEIF('Sales Log'!$G$14:$G$213,E2,'Sales Log'!$P$14:$P$213)</f>
        <v>#DIV/0!</v>
      </c>
      <c r="F10" s="8" t="e">
        <f>AVERAGEIF('Sales Log'!$G$14:$G$213,F2,'Sales Log'!$P$14:$P$213)</f>
        <v>#DIV/0!</v>
      </c>
      <c r="G10" s="8" t="e">
        <f>AVERAGEIF('Sales Log'!$G$14:$G$213,G2,'Sales Log'!$P$14:$P$213)</f>
        <v>#DIV/0!</v>
      </c>
      <c r="H10" s="8" t="e">
        <f>AVERAGEIF('Sales Log'!$G$14:$G$213,H2,'Sales Log'!$P$14:$P$213)</f>
        <v>#DIV/0!</v>
      </c>
      <c r="I10" s="8">
        <f>AVERAGEIF('Sales Log'!$G$14:$G$213,I2,'Sales Log'!$P$14:$P$213)</f>
        <v>6581</v>
      </c>
      <c r="J10" s="8" t="e">
        <f>AVERAGEIF('Sales Log'!$G$14:$G$213,J2,'Sales Log'!$P$14:$P$213)</f>
        <v>#DIV/0!</v>
      </c>
      <c r="K10" s="8" t="e">
        <f>AVERAGEIF('Sales Log'!$G$14:$G$213,K2,'Sales Log'!$P$14:$P$213)</f>
        <v>#DIV/0!</v>
      </c>
    </row>
    <row r="11" spans="1:11" ht="22.5" customHeight="1">
      <c r="A11" s="5" t="s">
        <v>134</v>
      </c>
      <c r="B11" s="8">
        <f>'Sales Log'!$Q$214</f>
        <v>895.68421052631584</v>
      </c>
      <c r="C11" s="8">
        <f>AVERAGEIF('Sales Log'!$G$14:$G$213,C2,'Sales Log'!$Q$14:$Q$213)</f>
        <v>994.8</v>
      </c>
      <c r="D11" s="8">
        <f>AVERAGEIF('Sales Log'!$G$14:$G$213,D2,'Sales Log'!$Q$14:$Q$213)</f>
        <v>399</v>
      </c>
      <c r="E11" s="8" t="e">
        <f>AVERAGEIF('Sales Log'!$G$14:$G$213,E2,'Sales Log'!$Q$14:$Q$213)</f>
        <v>#DIV/0!</v>
      </c>
      <c r="F11" s="8" t="e">
        <f>AVERAGEIF('Sales Log'!$G$14:$G$213,F2,'Sales Log'!$Q$14:$Q$213)</f>
        <v>#DIV/0!</v>
      </c>
      <c r="G11" s="8" t="e">
        <f>AVERAGEIF('Sales Log'!$G$14:$G$213,G2,'Sales Log'!$Q$14:$Q$213)</f>
        <v>#DIV/0!</v>
      </c>
      <c r="H11" s="8" t="e">
        <f>AVERAGEIF('Sales Log'!$G$14:$G$213,H2,'Sales Log'!$Q$14:$Q$213)</f>
        <v>#DIV/0!</v>
      </c>
      <c r="I11" s="8">
        <f>AVERAGEIF('Sales Log'!$G$14:$G$213,I2,'Sales Log'!$Q$14:$Q$213)</f>
        <v>899</v>
      </c>
      <c r="J11" s="8" t="e">
        <f>AVERAGEIF('Sales Log'!$G$14:$G$213,J2,'Sales Log'!$Q$14:$Q$213)</f>
        <v>#DIV/0!</v>
      </c>
      <c r="K11" s="8" t="e">
        <f>AVERAGEIF('Sales Log'!$G$14:$G$213,K2,'Sales Log'!$Q$14:$Q$213)</f>
        <v>#DIV/0!</v>
      </c>
    </row>
    <row r="12" spans="1:11" ht="22.5" customHeight="1">
      <c r="A12" s="5" t="s">
        <v>135</v>
      </c>
      <c r="B12" s="8">
        <f>'Sales Log'!$R$214</f>
        <v>3887.3157894736842</v>
      </c>
      <c r="C12" s="8">
        <f>AVERAGEIF('Sales Log'!$G$14:$G$213,C2,'Sales Log'!$R$14:$R$213)</f>
        <v>3791</v>
      </c>
      <c r="D12" s="8">
        <f>AVERAGEIF('Sales Log'!$G$14:$G$213,D2,'Sales Log'!$R$14:$R$213)</f>
        <v>3171.3333333333335</v>
      </c>
      <c r="E12" s="8" t="e">
        <f>AVERAGEIF('Sales Log'!$G$14:$G$213,E2,'Sales Log'!$R$14:$R$213)</f>
        <v>#DIV/0!</v>
      </c>
      <c r="F12" s="8" t="e">
        <f>AVERAGEIF('Sales Log'!$G$14:$G$213,F2,'Sales Log'!$R$14:$R$213)</f>
        <v>#DIV/0!</v>
      </c>
      <c r="G12" s="8" t="e">
        <f>AVERAGEIF('Sales Log'!$G$14:$G$213,G2,'Sales Log'!$R$14:$R$213)</f>
        <v>#DIV/0!</v>
      </c>
      <c r="H12" s="8" t="e">
        <f>AVERAGEIF('Sales Log'!$G$14:$G$213,H2,'Sales Log'!$R$14:$R$213)</f>
        <v>#DIV/0!</v>
      </c>
      <c r="I12" s="8">
        <f>AVERAGEIF('Sales Log'!$G$14:$G$213,I2,'Sales Log'!$R$14:$R$213)</f>
        <v>7480</v>
      </c>
      <c r="J12" s="8" t="e">
        <f>AVERAGEIF('Sales Log'!$G$14:$G$213,J2,'Sales Log'!$R$14:$R$213)</f>
        <v>#DIV/0!</v>
      </c>
      <c r="K12" s="8" t="e">
        <f>AVERAGEIF('Sales Log'!$G$14:$G$213,K2,'Sales Log'!$R$14:$R$213)</f>
        <v>#DIV/0!</v>
      </c>
    </row>
    <row r="13" spans="1:11" ht="21.75" customHeight="1">
      <c r="A13" s="5" t="s">
        <v>136</v>
      </c>
      <c r="B13" s="10">
        <f>B12*B3</f>
        <v>73859</v>
      </c>
      <c r="C13" s="10">
        <f>C12*C3</f>
        <v>56865</v>
      </c>
      <c r="D13" s="10">
        <f t="shared" ref="D13:K13" si="0">D12*D3</f>
        <v>9514</v>
      </c>
      <c r="E13" s="10" t="e">
        <f t="shared" si="0"/>
        <v>#DIV/0!</v>
      </c>
      <c r="F13" s="10" t="e">
        <f t="shared" si="0"/>
        <v>#DIV/0!</v>
      </c>
      <c r="G13" s="10" t="e">
        <f t="shared" si="0"/>
        <v>#DIV/0!</v>
      </c>
      <c r="H13" s="10" t="e">
        <f t="shared" si="0"/>
        <v>#DIV/0!</v>
      </c>
      <c r="I13" s="10">
        <f t="shared" si="0"/>
        <v>7480</v>
      </c>
      <c r="J13" s="10" t="e">
        <f t="shared" ref="J13" si="1">J12*J3</f>
        <v>#DIV/0!</v>
      </c>
      <c r="K13" s="10" t="e">
        <f t="shared" si="0"/>
        <v>#DIV/0!</v>
      </c>
    </row>
    <row r="14" spans="1:11" ht="21.75" customHeight="1">
      <c r="A14" s="5" t="s">
        <v>90</v>
      </c>
      <c r="B14" s="9">
        <f>(B12/(B7)*(360/B6))</f>
        <v>0.64037071249454292</v>
      </c>
      <c r="C14" s="9">
        <f ca="1">(C12/(C7)*(360/C6))</f>
        <v>0.56645618129639363</v>
      </c>
      <c r="D14" s="9">
        <f t="shared" ref="D14:K14" ca="1" si="2">(D12/(D7)*(360/D6))</f>
        <v>0.72534901057197076</v>
      </c>
      <c r="E14" s="9" t="e">
        <f t="shared" ca="1" si="2"/>
        <v>#DIV/0!</v>
      </c>
      <c r="F14" s="9" t="e">
        <f t="shared" ca="1" si="2"/>
        <v>#DIV/0!</v>
      </c>
      <c r="G14" s="9" t="e">
        <f t="shared" ca="1" si="2"/>
        <v>#DIV/0!</v>
      </c>
      <c r="H14" s="9" t="e">
        <f t="shared" ca="1" si="2"/>
        <v>#DIV/0!</v>
      </c>
      <c r="I14" s="9">
        <f t="shared" ca="1" si="2"/>
        <v>3.6291105121293805</v>
      </c>
      <c r="J14" s="9" t="e">
        <f t="shared" ref="J14" ca="1" si="3">(J12/(J7)*(360/J6))</f>
        <v>#DIV/0!</v>
      </c>
      <c r="K14" s="9" t="e">
        <f t="shared" ca="1" si="2"/>
        <v>#DIV/0!</v>
      </c>
    </row>
    <row r="15" spans="1:11" ht="21.75" customHeight="1">
      <c r="A15" s="5" t="s">
        <v>137</v>
      </c>
      <c r="B15" s="9">
        <f>'Sales Log'!AA214/'Scoreboard Total'!B3</f>
        <v>0.42105263157894735</v>
      </c>
      <c r="C15" s="9">
        <f>COUNTIFS('Sales Log'!$G$14:$G$213,C2,'Sales Log'!$AA$14:$AA$213,"Yes")/C$3</f>
        <v>0.46666666666666667</v>
      </c>
      <c r="D15" s="9">
        <f>COUNTIFS('Sales Log'!$G$14:$G$213,D2,'Sales Log'!$AA$14:$AA$213,"Yes")/D$3</f>
        <v>0.33333333333333331</v>
      </c>
      <c r="E15" s="9" t="e">
        <f>COUNTIFS('Sales Log'!$G$14:$G$213,E2,'Sales Log'!$AA$14:$AA$213,"Yes")/E$3</f>
        <v>#DIV/0!</v>
      </c>
      <c r="F15" s="9" t="e">
        <f>COUNTIFS('Sales Log'!$G$14:$G$213,F2,'Sales Log'!$AA$14:$AA$213,"Yes")/F$3</f>
        <v>#DIV/0!</v>
      </c>
      <c r="G15" s="9" t="e">
        <f>COUNTIFS('Sales Log'!$G$14:$G$213,G2,'Sales Log'!$AA$14:$AA$213,"Yes")/G$3</f>
        <v>#DIV/0!</v>
      </c>
      <c r="H15" s="9" t="e">
        <f>COUNTIFS('Sales Log'!$G$14:$G$213,H2,'Sales Log'!$AA$14:$AA$213,"Yes")/H$3</f>
        <v>#DIV/0!</v>
      </c>
      <c r="I15" s="9">
        <f>COUNTIFS('Sales Log'!$G$14:$G$213,I2,'Sales Log'!$AA$14:$AA$213,"Yes")/I$3</f>
        <v>0</v>
      </c>
      <c r="J15" s="9" t="e">
        <f>COUNTIFS('Sales Log'!$G$14:$G$213,J2,'Sales Log'!$AA$14:$AA$213,"Yes")/J$3</f>
        <v>#DIV/0!</v>
      </c>
      <c r="K15" s="9" t="e">
        <f>COUNTIFS('Sales Log'!$G$14:$G$213,K2,'Sales Log'!$AA$14:$AA$213,"Yes")/K$3</f>
        <v>#DIV/0!</v>
      </c>
    </row>
    <row r="16" spans="1:11" ht="21.75" customHeight="1">
      <c r="A16" s="5" t="s">
        <v>138</v>
      </c>
      <c r="B16" s="114">
        <f>'Sales Log'!$AB$214</f>
        <v>-78.94736842105263</v>
      </c>
      <c r="C16" s="114">
        <f>AVERAGEIF('Sales Log'!$G$14:$G$213,C2,'Sales Log'!$AB$14:$AB$213)</f>
        <v>-300</v>
      </c>
      <c r="D16" s="114">
        <f>AVERAGEIF('Sales Log'!$G$14:$G$213,D2,'Sales Log'!$AB$14:$AB$213)</f>
        <v>1000</v>
      </c>
      <c r="E16" s="114" t="e">
        <f>AVERAGEIF('Sales Log'!$G$14:$G$213,E2,'Sales Log'!$AB$14:$AB$213)</f>
        <v>#DIV/0!</v>
      </c>
      <c r="F16" s="114" t="e">
        <f>AVERAGEIF('Sales Log'!$G$14:$G$213,F2,'Sales Log'!$AB$14:$AB$213)</f>
        <v>#DIV/0!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>
        <f>AVERAGEIF('Sales Log'!$G$14:$G$213,I2,'Sales Log'!$AB$14:$AB$213)</f>
        <v>0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Jason Shoemaker</cp:lastModifiedBy>
  <cp:revision/>
  <dcterms:created xsi:type="dcterms:W3CDTF">2015-12-28T19:26:50Z</dcterms:created>
  <dcterms:modified xsi:type="dcterms:W3CDTF">2023-10-21T14:30:39Z</dcterms:modified>
  <cp:category/>
  <cp:contentStatus/>
</cp:coreProperties>
</file>