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rawley\Desktop\NADA VO1\"/>
    </mc:Choice>
  </mc:AlternateContent>
  <xr:revisionPtr revIDLastSave="0" documentId="13_ncr:1_{C076D753-1942-4CDA-AC62-282447E691C9}" xr6:coauthVersionLast="47" xr6:coauthVersionMax="47" xr10:uidLastSave="{00000000-0000-0000-0000-000000000000}"/>
  <bookViews>
    <workbookView xWindow="-120" yWindow="-120" windowWidth="29040" windowHeight="1584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M34" i="1"/>
  <c r="N34" i="1" s="1"/>
  <c r="M35" i="1"/>
  <c r="N35" i="1" s="1"/>
  <c r="M36" i="1"/>
  <c r="N36" i="1" s="1"/>
  <c r="M37" i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33" i="1"/>
  <c r="N37" i="1"/>
  <c r="N85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J9" i="13" s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J8" i="13" l="1"/>
  <c r="S78" i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16" i="5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9" l="1"/>
  <c r="B3" i="14"/>
  <c r="B4" i="14" s="1"/>
  <c r="B17" i="6"/>
  <c r="B4" i="10"/>
  <c r="B16" i="12"/>
  <c r="B16" i="11"/>
  <c r="B17" i="10"/>
  <c r="B15" i="14"/>
  <c r="B17" i="9"/>
  <c r="B15" i="13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5" i="12"/>
  <c r="B6" i="10"/>
  <c r="AQ10" i="9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<sst xmlns="http://schemas.openxmlformats.org/spreadsheetml/2006/main" count="1812" uniqueCount="422">
  <si>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</si>
  <si>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</si>
  <si>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</si>
  <si>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</si>
  <si>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</si>
  <si>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</si>
  <si>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</si>
  <si>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</si>
  <si>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</si>
  <si>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</si>
  <si>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</si>
  <si>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</si>
  <si>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</si>
  <si>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</si>
  <si>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</si>
  <si>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</si>
  <si>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</si>
  <si>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</si>
  <si>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</si>
  <si>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</si>
  <si>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</si>
  <si>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</si>
  <si>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</si>
  <si>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</si>
  <si>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</si>
  <si>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</si>
  <si>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</si>
  <si>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</si>
  <si>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</si>
  <si>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</si>
  <si>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</si>
  <si>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</si>
  <si>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</si>
  <si>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</si>
  <si>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</si>
  <si>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</si>
  <si>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</si>
  <si>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</si>
  <si>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</si>
  <si>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</si>
  <si>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</si>
  <si>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</si>
  <si>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</si>
  <si>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</si>
  <si>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</si>
  <si>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</si>
  <si>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</si>
  <si>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</si>
  <si>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</si>
  <si>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</si>
  <si>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</si>
  <si>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</si>
  <si>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</si>
  <si>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</si>
  <si>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</si>
  <si>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</si>
  <si>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</si>
  <si>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</si>
  <si>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</si>
  <si>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</si>
  <si>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</si>
  <si>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</si>
  <si>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</si>
  <si>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</si>
  <si>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</si>
  <si>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</si>
  <si>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</si>
  <si>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</si>
  <si>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</si>
  <si>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</si>
  <si>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</si>
  <si>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</si>
  <si>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</si>
  <si>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</si>
  <si>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</si>
  <si>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</si>
  <si>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</si>
  <si>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</si>
  <si>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</si>
  <si>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</si>
  <si>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</si>
  <si>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</si>
  <si>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</si>
  <si>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</si>
  <si>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</si>
  <si>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</si>
  <si>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</si>
  <si>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</si>
  <si>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</si>
  <si>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</si>
  <si>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</si>
  <si>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</si>
  <si>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</si>
  <si>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</si>
  <si>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</si>
  <si>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</si>
  <si>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</si>
  <si>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</si>
  <si>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</si>
  <si>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</si>
  <si>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</si>
  <si>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</si>
  <si>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</si>
  <si>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</si>
  <si>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</si>
  <si>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</si>
  <si>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</si>
  <si>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</si>
  <si>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</si>
  <si>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</si>
  <si>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</si>
  <si>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</si>
  <si>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</si>
  <si>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</si>
  <si>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</si>
  <si>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</si>
  <si>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</si>
  <si>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</si>
  <si>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</si>
  <si>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</si>
  <si>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</si>
  <si>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</si>
  <si>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</si>
  <si>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</si>
  <si>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</si>
  <si>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</si>
  <si>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</si>
  <si>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</si>
  <si>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</si>
  <si>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</si>
  <si>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</si>
  <si>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</si>
  <si>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</si>
  <si>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</si>
  <si>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</si>
  <si>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</si>
  <si>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</si>
  <si>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</si>
  <si>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</si>
  <si>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</si>
  <si>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</si>
  <si>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</si>
  <si>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</si>
  <si>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</si>
  <si>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</si>
  <si>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</si>
  <si>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</si>
  <si>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</si>
  <si>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</si>
  <si>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</si>
  <si>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</si>
  <si>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</si>
  <si>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</si>
  <si>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Bobby Gacad</t>
  </si>
  <si>
    <t>Brandon Saucier</t>
  </si>
  <si>
    <t>Michael Smith</t>
  </si>
  <si>
    <t>Levi Mangallanes</t>
  </si>
  <si>
    <t>Rigo Fernandez</t>
  </si>
  <si>
    <t>Brian Woodward</t>
  </si>
  <si>
    <t>Keith Krepon</t>
  </si>
  <si>
    <t>Felix Ramos</t>
  </si>
  <si>
    <t>Evan Sparks</t>
  </si>
  <si>
    <t>Will Fitzgerald</t>
  </si>
  <si>
    <t>Mike Moore</t>
  </si>
  <si>
    <t>Justin Yurkovitz</t>
  </si>
  <si>
    <t>Renea Niles</t>
  </si>
  <si>
    <t>Travis Anacker</t>
  </si>
  <si>
    <t>Les Pollington</t>
  </si>
  <si>
    <t>Lee Andrew</t>
  </si>
  <si>
    <t>Aj Gallo</t>
  </si>
  <si>
    <t>Mark Gordon</t>
  </si>
  <si>
    <t>Richard Lamantia</t>
  </si>
  <si>
    <t>Nick Dowling</t>
  </si>
  <si>
    <t>G079288A</t>
  </si>
  <si>
    <t>XT5</t>
  </si>
  <si>
    <t>G230996A</t>
  </si>
  <si>
    <t>Sorento</t>
  </si>
  <si>
    <t>G202039A</t>
  </si>
  <si>
    <t>Trailblazer</t>
  </si>
  <si>
    <t>G287860Z</t>
  </si>
  <si>
    <t>2500HD</t>
  </si>
  <si>
    <t>G178617A</t>
  </si>
  <si>
    <t>G437545A</t>
  </si>
  <si>
    <t>Aviator</t>
  </si>
  <si>
    <t>G446713A</t>
  </si>
  <si>
    <t>Tiguan</t>
  </si>
  <si>
    <t>G294912A</t>
  </si>
  <si>
    <t>Traverse</t>
  </si>
  <si>
    <t>G112342B</t>
  </si>
  <si>
    <t>Frontier</t>
  </si>
  <si>
    <t>GP1850</t>
  </si>
  <si>
    <t>Sierra 1500</t>
  </si>
  <si>
    <t>G136246A</t>
  </si>
  <si>
    <t>Pacifica</t>
  </si>
  <si>
    <t>GP1841</t>
  </si>
  <si>
    <t>Blazer</t>
  </si>
  <si>
    <t>Zack Bolling</t>
  </si>
  <si>
    <t>GS1855R</t>
  </si>
  <si>
    <t>Rav 4</t>
  </si>
  <si>
    <t>G280396A</t>
  </si>
  <si>
    <t>G375079C</t>
  </si>
  <si>
    <t>G466596A</t>
  </si>
  <si>
    <t>ENCLAVE</t>
  </si>
  <si>
    <t>G319902A</t>
  </si>
  <si>
    <t>Silverado 1500</t>
  </si>
  <si>
    <t>G345911A</t>
  </si>
  <si>
    <t>COROLLA</t>
  </si>
  <si>
    <t>G060691A</t>
  </si>
  <si>
    <t>Wranlger</t>
  </si>
  <si>
    <t>GS1806</t>
  </si>
  <si>
    <t>SUBURBAN</t>
  </si>
  <si>
    <t>G229063B</t>
  </si>
  <si>
    <t>G411162A</t>
  </si>
  <si>
    <t>5 SERIES</t>
  </si>
  <si>
    <t>G078753B</t>
  </si>
  <si>
    <t>G006322A</t>
  </si>
  <si>
    <t>TERRAIN</t>
  </si>
  <si>
    <t>G094197A</t>
  </si>
  <si>
    <t>LIBERTY</t>
  </si>
  <si>
    <t>GP1798A</t>
  </si>
  <si>
    <t>QX50</t>
  </si>
  <si>
    <t>G090775A</t>
  </si>
  <si>
    <t>GS1805A</t>
  </si>
  <si>
    <t>CAMRY</t>
  </si>
  <si>
    <t>G230431A</t>
  </si>
  <si>
    <t>ACADIA</t>
  </si>
  <si>
    <t>GP1778A</t>
  </si>
  <si>
    <t>ACCORD</t>
  </si>
  <si>
    <t>G244834A</t>
  </si>
  <si>
    <t>G114000A</t>
  </si>
  <si>
    <t>G273453A</t>
  </si>
  <si>
    <t>BOLT EUV</t>
  </si>
  <si>
    <t>G234551A</t>
  </si>
  <si>
    <t>GS1829</t>
  </si>
  <si>
    <t>Miata</t>
  </si>
  <si>
    <t>G147464A</t>
  </si>
  <si>
    <t>G078827A</t>
  </si>
  <si>
    <t>G217336A</t>
  </si>
  <si>
    <t>GS1823</t>
  </si>
  <si>
    <t>IS300</t>
  </si>
  <si>
    <t>G318727A</t>
  </si>
  <si>
    <t>G276297B</t>
  </si>
  <si>
    <t xml:space="preserve">Prius </t>
  </si>
  <si>
    <t>Sergey Kazimir</t>
  </si>
  <si>
    <t>G270033A</t>
  </si>
  <si>
    <t>G022408A</t>
  </si>
  <si>
    <t>VENUE</t>
  </si>
  <si>
    <t>GP1821A</t>
  </si>
  <si>
    <t>Canyon</t>
  </si>
  <si>
    <t>GP1808</t>
  </si>
  <si>
    <t>YUKON</t>
  </si>
  <si>
    <t>G268287A</t>
  </si>
  <si>
    <t>GLE Class</t>
  </si>
  <si>
    <t>G229063A</t>
  </si>
  <si>
    <t>AVIATOR</t>
  </si>
  <si>
    <t>G119414B</t>
  </si>
  <si>
    <t>DAKOTA</t>
  </si>
  <si>
    <t>G142122A</t>
  </si>
  <si>
    <t>CAMARO</t>
  </si>
  <si>
    <t>G146895A</t>
  </si>
  <si>
    <t>Sierra 2500</t>
  </si>
  <si>
    <t>G078753A</t>
  </si>
  <si>
    <t>ENVISION</t>
  </si>
  <si>
    <t>G078819A</t>
  </si>
  <si>
    <t>GS1780A</t>
  </si>
  <si>
    <t>PALISADE</t>
  </si>
  <si>
    <t>G560949A</t>
  </si>
  <si>
    <t>VERSA</t>
  </si>
  <si>
    <t>G174711A</t>
  </si>
  <si>
    <t>COLORADO</t>
  </si>
  <si>
    <t>BLAZER</t>
  </si>
  <si>
    <t>G173207B</t>
  </si>
  <si>
    <t>SIERRA 1500</t>
  </si>
  <si>
    <t>GP1836</t>
  </si>
  <si>
    <t>G183961A</t>
  </si>
  <si>
    <t>SIERRA 3500HD</t>
  </si>
  <si>
    <t>G104385A</t>
  </si>
  <si>
    <t>NIRO</t>
  </si>
  <si>
    <t>G171479A</t>
  </si>
  <si>
    <t>GRAND CHEROKEE</t>
  </si>
  <si>
    <t>G268322B</t>
  </si>
  <si>
    <t>IONIQ</t>
  </si>
  <si>
    <t>G142073A</t>
  </si>
  <si>
    <t>GP1802</t>
  </si>
  <si>
    <t>GP1832</t>
  </si>
  <si>
    <t>MALIBU</t>
  </si>
  <si>
    <t>G166054B</t>
  </si>
  <si>
    <t>SORENTO</t>
  </si>
  <si>
    <t>G120768A</t>
  </si>
  <si>
    <t>G226301A</t>
  </si>
  <si>
    <t>G255184B</t>
  </si>
  <si>
    <t>F150</t>
  </si>
  <si>
    <t>G119414A</t>
  </si>
  <si>
    <t>RIDGELINE</t>
  </si>
  <si>
    <t>G248903A</t>
  </si>
  <si>
    <t>Escape</t>
  </si>
  <si>
    <t>G213956A</t>
  </si>
  <si>
    <t>TRAVERSE</t>
  </si>
  <si>
    <t>G219377A</t>
  </si>
  <si>
    <t>G194044A</t>
  </si>
  <si>
    <t>G096864A</t>
  </si>
  <si>
    <t>ENCORE GX</t>
  </si>
  <si>
    <t>G006345A</t>
  </si>
  <si>
    <t>Verano</t>
  </si>
  <si>
    <t>G104385Z</t>
  </si>
  <si>
    <t>SOUL</t>
  </si>
  <si>
    <t>GE1839</t>
  </si>
  <si>
    <t>G243500A</t>
  </si>
  <si>
    <t>GE1837</t>
  </si>
  <si>
    <t>EQUINOX</t>
  </si>
  <si>
    <t>G237057B</t>
  </si>
  <si>
    <t>CANYON</t>
  </si>
  <si>
    <t>G122266A</t>
  </si>
  <si>
    <t>G1366317A</t>
  </si>
  <si>
    <t>GP1808A</t>
  </si>
  <si>
    <t>RAM 3500</t>
  </si>
  <si>
    <t>GP1849</t>
  </si>
  <si>
    <t>TAHOE</t>
  </si>
  <si>
    <t>GP1828</t>
  </si>
  <si>
    <t>G090798E</t>
  </si>
  <si>
    <t>Sierra</t>
  </si>
  <si>
    <t>G146895B</t>
  </si>
  <si>
    <t>G258004A</t>
  </si>
  <si>
    <t>G255480A</t>
  </si>
  <si>
    <t>G151951A</t>
  </si>
  <si>
    <t>G348305Z</t>
  </si>
  <si>
    <t xml:space="preserve">Encore </t>
  </si>
  <si>
    <t>G299426A</t>
  </si>
  <si>
    <t>SILVERADO 2500</t>
  </si>
  <si>
    <t>G026118A</t>
  </si>
  <si>
    <t>GP1808Z</t>
  </si>
  <si>
    <t>G226051A</t>
  </si>
  <si>
    <t>GP1842</t>
  </si>
  <si>
    <t>SIERRA 2500</t>
  </si>
  <si>
    <t>G202039B</t>
  </si>
  <si>
    <t>IMPALA</t>
  </si>
  <si>
    <t>G126368A</t>
  </si>
  <si>
    <t>ALTIMA</t>
  </si>
  <si>
    <t>G213906A</t>
  </si>
  <si>
    <t>Cherokee</t>
  </si>
  <si>
    <t>G013128A</t>
  </si>
  <si>
    <t>SPORTAGE</t>
  </si>
  <si>
    <t>G186262A</t>
  </si>
  <si>
    <t>Silverado</t>
  </si>
  <si>
    <t>G317014A</t>
  </si>
  <si>
    <t>G015854</t>
  </si>
  <si>
    <t>G021364A</t>
  </si>
  <si>
    <t>TRAILBLAZER</t>
  </si>
  <si>
    <t>G166748A</t>
  </si>
  <si>
    <t>RAM 2500</t>
  </si>
  <si>
    <t>G079288B</t>
  </si>
  <si>
    <t>G268328B</t>
  </si>
  <si>
    <t>G129990B</t>
  </si>
  <si>
    <t xml:space="preserve">BOLT  </t>
  </si>
  <si>
    <t>G136246B</t>
  </si>
  <si>
    <t>GP1860</t>
  </si>
  <si>
    <t>G146895C</t>
  </si>
  <si>
    <t>NAVIGATOR</t>
  </si>
  <si>
    <t>G015854A</t>
  </si>
  <si>
    <t>G189614A</t>
  </si>
  <si>
    <t>G102196A</t>
  </si>
  <si>
    <t>G129568A</t>
  </si>
  <si>
    <t>G020525A</t>
  </si>
  <si>
    <t>ENVISTION</t>
  </si>
  <si>
    <t>G100614A</t>
  </si>
  <si>
    <t>CRV</t>
  </si>
  <si>
    <t>GP1865</t>
  </si>
  <si>
    <t>G170429A</t>
  </si>
  <si>
    <t>G475205A</t>
  </si>
  <si>
    <t>G473096A</t>
  </si>
  <si>
    <t>G255184C</t>
  </si>
  <si>
    <t>G022352Z</t>
  </si>
  <si>
    <t>CHALLENGER</t>
  </si>
  <si>
    <t>G500148A</t>
  </si>
  <si>
    <t>ATLAS</t>
  </si>
  <si>
    <t>G495559A</t>
  </si>
  <si>
    <t>XT6</t>
  </si>
  <si>
    <t>GP1867</t>
  </si>
  <si>
    <t>G491389A</t>
  </si>
  <si>
    <t>G124621A</t>
  </si>
  <si>
    <t>PACIFICA</t>
  </si>
  <si>
    <t>GP1844</t>
  </si>
  <si>
    <t>G117366A</t>
  </si>
  <si>
    <t>GP1843</t>
  </si>
  <si>
    <t>G117228A</t>
  </si>
  <si>
    <t>SILVERADO 1500</t>
  </si>
  <si>
    <t>GE1838</t>
  </si>
  <si>
    <t>G230996B</t>
  </si>
  <si>
    <t>G217884A</t>
  </si>
  <si>
    <t>G244834B</t>
  </si>
  <si>
    <t>G262210B</t>
  </si>
  <si>
    <t>WRANGLER</t>
  </si>
  <si>
    <t>G099214A</t>
  </si>
  <si>
    <t>G224515A</t>
  </si>
  <si>
    <t>GE1837A</t>
  </si>
  <si>
    <t>OUTLANDER</t>
  </si>
  <si>
    <t>G114079A</t>
  </si>
  <si>
    <t>SILVERADO</t>
  </si>
  <si>
    <t>G147736B</t>
  </si>
  <si>
    <t>G117751A</t>
  </si>
  <si>
    <t>GP1845</t>
  </si>
  <si>
    <t>G192849A</t>
  </si>
  <si>
    <t>G106816Z</t>
  </si>
  <si>
    <t>G106816A</t>
  </si>
  <si>
    <t>G345572A</t>
  </si>
  <si>
    <t>G185556A</t>
  </si>
  <si>
    <t>G502086A</t>
  </si>
  <si>
    <t>GP1875</t>
  </si>
  <si>
    <t>G217124A</t>
  </si>
  <si>
    <t>G502086B</t>
  </si>
  <si>
    <t>G095301B</t>
  </si>
  <si>
    <t>LACROSSE</t>
  </si>
  <si>
    <t>G199756A</t>
  </si>
  <si>
    <t>G026118B</t>
  </si>
  <si>
    <t>G178278A</t>
  </si>
  <si>
    <t>G035335A</t>
  </si>
  <si>
    <t>TRAX</t>
  </si>
  <si>
    <t>G215603A</t>
  </si>
  <si>
    <t>4RUNNER</t>
  </si>
  <si>
    <t>G294912B</t>
  </si>
  <si>
    <t>G165854A</t>
  </si>
  <si>
    <t>G129568B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</si>
</sst>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D17" sqref="D17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153</v>
      </c>
      <c r="B2" s="2" t="s">
        <v>155</v>
      </c>
      <c r="C2" s="2" t="s">
        <v>158</v>
      </c>
      <c r="D2" s="2" t="s">
        <v>17</v>
      </c>
      <c r="E2" s="41" t="s">
        <v>8</v>
      </c>
    </row>
    <row r="3" spans="1:5">
      <c r="A3" s="2" t="s">
        <v>196</v>
      </c>
      <c r="B3" s="2" t="s">
        <v>156</v>
      </c>
      <c r="C3" s="2" t="s">
        <v>159</v>
      </c>
      <c r="D3" s="2" t="s">
        <v>15</v>
      </c>
      <c r="E3" s="3" t="s">
        <v>10</v>
      </c>
    </row>
    <row r="4" spans="1:5">
      <c r="A4" s="2" t="s">
        <v>154</v>
      </c>
      <c r="B4" s="2" t="s">
        <v>157</v>
      </c>
      <c r="C4" s="2" t="s">
        <v>160</v>
      </c>
      <c r="D4" s="2" t="s">
        <v>23</v>
      </c>
      <c r="E4" s="3" t="s">
        <v>11</v>
      </c>
    </row>
    <row r="5" spans="1:5">
      <c r="A5" s="2"/>
      <c r="B5" s="2"/>
      <c r="C5" s="2" t="s">
        <v>161</v>
      </c>
      <c r="D5" s="2"/>
      <c r="E5" s="3" t="s">
        <v>9</v>
      </c>
    </row>
    <row r="6" spans="1:5">
      <c r="A6" s="2"/>
      <c r="B6" s="2"/>
      <c r="C6" s="2" t="s">
        <v>162</v>
      </c>
      <c r="D6" s="2"/>
      <c r="E6" s="3" t="s">
        <v>12</v>
      </c>
    </row>
    <row r="7" spans="1:5">
      <c r="A7" s="2"/>
      <c r="B7" s="2"/>
      <c r="C7" s="2" t="s">
        <v>163</v>
      </c>
      <c r="D7" s="2"/>
      <c r="E7" s="3" t="s">
        <v>13</v>
      </c>
    </row>
    <row r="8" spans="1:5">
      <c r="A8" s="2"/>
      <c r="B8" s="2"/>
      <c r="C8" s="2" t="s">
        <v>164</v>
      </c>
      <c r="D8" s="2"/>
      <c r="E8" s="3" t="s">
        <v>14</v>
      </c>
    </row>
    <row r="9" spans="1:5">
      <c r="A9" s="2"/>
      <c r="B9" s="2"/>
      <c r="C9" s="2" t="s">
        <v>165</v>
      </c>
      <c r="D9" s="2"/>
      <c r="E9" s="3" t="s">
        <v>15</v>
      </c>
    </row>
    <row r="10" spans="1:5">
      <c r="A10" s="2"/>
      <c r="B10" s="2"/>
      <c r="C10" s="2" t="s">
        <v>166</v>
      </c>
      <c r="D10" s="2"/>
      <c r="E10" s="3" t="s">
        <v>16</v>
      </c>
    </row>
    <row r="11" spans="1:5">
      <c r="A11" s="2"/>
      <c r="B11" s="2"/>
      <c r="C11" s="2" t="s">
        <v>167</v>
      </c>
      <c r="D11" s="2"/>
      <c r="E11" s="3" t="s">
        <v>17</v>
      </c>
    </row>
    <row r="12" spans="1:5">
      <c r="A12" s="2"/>
      <c r="B12" s="2"/>
      <c r="C12" s="2" t="s">
        <v>168</v>
      </c>
      <c r="D12" s="2"/>
      <c r="E12" s="3" t="s">
        <v>18</v>
      </c>
    </row>
    <row r="13" spans="1:5">
      <c r="A13" s="2"/>
      <c r="B13" s="2"/>
      <c r="C13" s="2" t="s">
        <v>169</v>
      </c>
      <c r="D13" s="2"/>
      <c r="E13" s="3" t="s">
        <v>19</v>
      </c>
    </row>
    <row r="14" spans="1:5">
      <c r="A14" s="2"/>
      <c r="B14" s="2"/>
      <c r="C14" s="2" t="s">
        <v>170</v>
      </c>
      <c r="D14" s="2"/>
      <c r="E14" s="3" t="s">
        <v>20</v>
      </c>
    </row>
    <row r="15" spans="1:5">
      <c r="A15" s="2"/>
      <c r="B15" s="2"/>
      <c r="C15" s="2" t="s">
        <v>171</v>
      </c>
      <c r="D15" s="2"/>
      <c r="E15" s="3" t="s">
        <v>21</v>
      </c>
    </row>
    <row r="16" spans="1:5">
      <c r="A16" s="2"/>
      <c r="B16" s="2"/>
      <c r="C16" s="2" t="s">
        <v>172</v>
      </c>
      <c r="D16" s="2"/>
      <c r="E16" s="3" t="s">
        <v>22</v>
      </c>
    </row>
    <row r="17" spans="1:5">
      <c r="A17" s="2"/>
      <c r="B17" s="2"/>
      <c r="C17" s="2" t="s">
        <v>243</v>
      </c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164</v>
      </c>
      <c r="C3" s="6">
        <f>COUNTIF('Sales Log'!$W$14:$W$213,30)</f>
        <v>88</v>
      </c>
      <c r="D3" s="6">
        <f>COUNTIF('Sales Log'!$W$14:$W$213,45)</f>
        <v>31</v>
      </c>
      <c r="E3" s="6">
        <f>COUNTIF('Sales Log'!$W$14:$W$213,60)</f>
        <v>27</v>
      </c>
      <c r="F3" s="6">
        <f>COUNTIF('Sales Log'!$W$14:$W$213,90)</f>
        <v>18</v>
      </c>
      <c r="G3" s="6">
        <f>COUNTIF('Sales Log'!$W$14:$W$213,91)</f>
        <v>0</v>
      </c>
    </row>
    <row r="4" spans="1:7" ht="22.5" customHeight="1">
      <c r="A4" s="5" t="s">
        <v>149</v>
      </c>
      <c r="B4" s="9">
        <f>B3/'Sales Log'!$D$214</f>
        <v>1</v>
      </c>
      <c r="C4" s="9">
        <f>C3/'Sales Log'!$D$214</f>
        <v>0.53658536585365857</v>
      </c>
      <c r="D4" s="9">
        <f>D3/'Sales Log'!$D$214</f>
        <v>0.18902439024390244</v>
      </c>
      <c r="E4" s="9">
        <f>E3/'Sales Log'!$D$214</f>
        <v>0.16463414634146342</v>
      </c>
      <c r="F4" s="9">
        <f>F3/'Sales Log'!$D$214</f>
        <v>0.10975609756097561</v>
      </c>
      <c r="G4" s="9">
        <f>G3/'Sales Log'!$D$214</f>
        <v>0</v>
      </c>
    </row>
    <row r="5" spans="1:7" ht="22.5" customHeight="1">
      <c r="A5" s="5" t="s">
        <v>142</v>
      </c>
      <c r="B5" s="14">
        <f>COUNTIFS('Sales Log'!$I$14:$I$213,"No")/B3</f>
        <v>0.36585365853658536</v>
      </c>
      <c r="C5" s="14">
        <f>COUNTIFS('Sales Log'!$I$14:$I$213,"No",'Sales Log'!$W$14:$W$213,30)/C3</f>
        <v>0.29545454545454547</v>
      </c>
      <c r="D5" s="14">
        <f>COUNTIFS('Sales Log'!$I$14:$I$213,"No",'Sales Log'!$W$14:$W$213,45)/D3</f>
        <v>0.45161290322580644</v>
      </c>
      <c r="E5" s="14">
        <f>COUNTIFS('Sales Log'!$I$14:$I$213,"No",'Sales Log'!$W$14:$W$213,60)/E3</f>
        <v>0.40740740740740738</v>
      </c>
      <c r="F5" s="14">
        <f>COUNTIFS('Sales Log'!$I$14:$I$213,"No",'Sales Log'!$W$14:$W$213,90)/F3</f>
        <v>0.5</v>
      </c>
      <c r="G5" s="14" t="e">
        <f>COUNTIFS('Sales Log'!$I$14:$I$213,"No",'Sales Log'!$W$14:$W$213,91)/G3</f>
        <v>#DIV/0!</v>
      </c>
    </row>
    <row r="6" spans="1:7" s="4" customFormat="1" ht="21.75" customHeight="1">
      <c r="A6" s="11" t="s">
        <v>126</v>
      </c>
      <c r="B6" s="7">
        <f>'Sales Log'!$F$214</f>
        <v>31.646341463414632</v>
      </c>
      <c r="C6" s="24">
        <f>AVERAGEIF('Sales Log'!$W$14:$W$213,30,'Sales Log'!$F$14:$F$213)</f>
        <v>15.693181818181818</v>
      </c>
      <c r="D6" s="24">
        <f>AVERAGEIF('Sales Log'!$W$14:$W$213,45,'Sales Log'!$F$14:$F$213)</f>
        <v>37.193548387096776</v>
      </c>
      <c r="E6" s="24">
        <f>AVERAGEIF('Sales Log'!$W$14:$W$213,60,'Sales Log'!$F$14:$F$213)</f>
        <v>52.629629629629626</v>
      </c>
      <c r="F6" s="24">
        <f>AVERAGEIF('Sales Log'!$W$14:$W$213,90,'Sales Log'!$F$14:$F$213)</f>
        <v>68.611111111111114</v>
      </c>
      <c r="G6" s="24" t="e">
        <f>AVERAGEIF('Sales Log'!$W$14:$W$213,91,'Sales Log'!$F$14:$F$213)</f>
        <v>#DIV/0!</v>
      </c>
    </row>
    <row r="7" spans="1:7" ht="22.5" customHeight="1">
      <c r="A7" s="5" t="s">
        <v>128</v>
      </c>
      <c r="B7" s="8">
        <f>'Sales Log'!$K$214</f>
        <v>29466.917743902439</v>
      </c>
      <c r="C7" s="8">
        <f>AVERAGEIF('Sales Log'!$W$14:$W$213,30,'Sales Log'!$K$14:$K$213)</f>
        <v>30308.159090909092</v>
      </c>
      <c r="D7" s="8">
        <f>AVERAGEIF('Sales Log'!$W$14:$W$213,45,'Sales Log'!$K$14:$K$213)</f>
        <v>27613.322580645163</v>
      </c>
      <c r="E7" s="8">
        <f>AVERAGEIF('Sales Log'!$W$14:$W$213,60,'Sales Log'!$K$14:$K$213)</f>
        <v>28990.518518518518</v>
      </c>
      <c r="F7" s="8">
        <f>AVERAGEIF('Sales Log'!$W$14:$W$213,90,'Sales Log'!$K$14:$K$213)</f>
        <v>29261.08388888889</v>
      </c>
      <c r="G7" s="8" t="e">
        <f>AVERAGEIF('Sales Log'!$W$14:$W$213,91,'Sales Log'!$K$14:$K$213)</f>
        <v>#DIV/0!</v>
      </c>
    </row>
    <row r="8" spans="1:7" ht="22.5" customHeight="1">
      <c r="A8" s="5" t="s">
        <v>150</v>
      </c>
      <c r="B8" s="9">
        <f>'Sales Log'!$N$214</f>
        <v>0.94778449696212907</v>
      </c>
      <c r="C8" s="14">
        <f>AVERAGEIF('Sales Log'!$W$14:$W$213,30,'Sales Log'!$N14:$N$213)</f>
        <v>0.96447171866748826</v>
      </c>
      <c r="D8" s="14">
        <f>AVERAGEIF('Sales Log'!$W$14:$W$213,45,'Sales Log'!$N14:$N$213)</f>
        <v>0.95758927338219779</v>
      </c>
      <c r="E8" s="14">
        <f>AVERAGEIF('Sales Log'!$W$14:$W$213,60,'Sales Log'!$N14:$N$213)</f>
        <v>0.92282144352913376</v>
      </c>
      <c r="F8" s="14">
        <f>AVERAGEIF('Sales Log'!$W$14:$W$213,90,'Sales Log'!$N14:$N$213)</f>
        <v>0.88396958449853136</v>
      </c>
      <c r="G8" s="14" t="e">
        <f>AVERAGEIF('Sales Log'!$W$14:$W$213,91,'Sales Log'!$N14:$N$213)</f>
        <v>#DIV/0!</v>
      </c>
    </row>
    <row r="9" spans="1:7" ht="22.5" customHeight="1">
      <c r="A9" s="5" t="s">
        <v>132</v>
      </c>
      <c r="B9" s="8">
        <f>'Sales Log'!$O$214</f>
        <v>224.33225609756101</v>
      </c>
      <c r="C9" s="8">
        <f>AVERAGEIF('Sales Log'!$W$14:$W$213,30,'Sales Log'!$O$14:$O$213)</f>
        <v>360.94318181818181</v>
      </c>
      <c r="D9" s="8">
        <f>AVERAGEIF('Sales Log'!$W$14:$W$213,45,'Sales Log'!$O$14:$O$213)</f>
        <v>47.387096774193552</v>
      </c>
      <c r="E9" s="8">
        <f>AVERAGEIF('Sales Log'!$W$14:$W$213,60,'Sales Log'!$O$14:$O$213)</f>
        <v>-39.888888888888886</v>
      </c>
      <c r="F9" s="8">
        <f>AVERAGEIF('Sales Log'!$W$14:$W$213,90,'Sales Log'!$O$14:$O$213)</f>
        <v>257.52722222222229</v>
      </c>
      <c r="G9" s="8" t="e">
        <f>AVERAGEIF('Sales Log'!$W$14:$W$213,91,'Sales Log'!$O$14:$O$213)</f>
        <v>#DIV/0!</v>
      </c>
    </row>
    <row r="10" spans="1:7" ht="22.5" customHeight="1">
      <c r="A10" s="5" t="s">
        <v>151</v>
      </c>
      <c r="B10" s="8">
        <f>'Sales Log'!$P$214</f>
        <v>520.81707317073176</v>
      </c>
      <c r="C10" s="8">
        <f>AVERAGEIF('Sales Log'!$W$14:$W$213,30,'Sales Log'!$P$14:$P$213)</f>
        <v>2038.8636363636363</v>
      </c>
      <c r="D10" s="8">
        <f>AVERAGEIF('Sales Log'!$W$14:$W$213,45,'Sales Log'!$P$14:$P$213)</f>
        <v>-118.64516129032258</v>
      </c>
      <c r="E10" s="8">
        <f>AVERAGEIF('Sales Log'!$W$14:$W$213,60,'Sales Log'!$P$14:$P$213)</f>
        <v>-1104.1851851851852</v>
      </c>
      <c r="F10" s="8">
        <f>AVERAGEIF('Sales Log'!$W$14:$W$213,90,'Sales Log'!$P$14:$P$213)</f>
        <v>-3361.9444444444443</v>
      </c>
      <c r="G10" s="8" t="e">
        <f>AVERAGEIF('Sales Log'!$W$14:$W$213,91,'Sales Log'!$P$14:$P$213)</f>
        <v>#DIV/0!</v>
      </c>
    </row>
    <row r="11" spans="1:7" ht="22.5" customHeight="1">
      <c r="A11" s="5" t="s">
        <v>134</v>
      </c>
      <c r="B11" s="8">
        <f>'Sales Log'!$Q$214</f>
        <v>1823.1707317073171</v>
      </c>
      <c r="C11" s="8">
        <f>AVERAGEIF('Sales Log'!$W$14:$W$213,30,'Sales Log'!$Q$14:$Q$213)</f>
        <v>1853.284090909091</v>
      </c>
      <c r="D11" s="8">
        <f>AVERAGEIF('Sales Log'!$W$14:$W$213,45,'Sales Log'!$Q$14:$Q$213)</f>
        <v>1299.9677419354839</v>
      </c>
      <c r="E11" s="8">
        <f>AVERAGEIF('Sales Log'!$W$14:$W$213,60,'Sales Log'!$Q$14:$Q$213)</f>
        <v>2291.3703703703704</v>
      </c>
      <c r="F11" s="8">
        <f>AVERAGEIF('Sales Log'!$W$14:$W$213,90,'Sales Log'!$Q$14:$Q$213)</f>
        <v>1874.7222222222222</v>
      </c>
      <c r="G11" s="8" t="e">
        <f>AVERAGEIF('Sales Log'!$W$14:$W$213,91,'Sales Log'!$Q$14:$Q$213)</f>
        <v>#DIV/0!</v>
      </c>
    </row>
    <row r="12" spans="1:7" ht="22.5" customHeight="1">
      <c r="A12" s="5" t="s">
        <v>135</v>
      </c>
      <c r="B12" s="8">
        <f>'Sales Log'!$R$214</f>
        <v>2343.9878048780488</v>
      </c>
      <c r="C12" s="8">
        <f>C10+C11</f>
        <v>3892.147727272727</v>
      </c>
      <c r="D12" s="8">
        <f t="shared" ref="D12:G12" si="0">D10+D11</f>
        <v>1181.3225806451612</v>
      </c>
      <c r="E12" s="8">
        <f t="shared" si="0"/>
        <v>1187.1851851851852</v>
      </c>
      <c r="F12" s="8">
        <f t="shared" si="0"/>
        <v>-1487.2222222222222</v>
      </c>
      <c r="G12" s="8" t="e">
        <f t="shared" si="0"/>
        <v>#DIV/0!</v>
      </c>
    </row>
    <row r="13" spans="1:7" ht="21.75" customHeight="1">
      <c r="A13" s="5" t="s">
        <v>136</v>
      </c>
      <c r="B13" s="10">
        <f>B12*B3</f>
        <v>384414</v>
      </c>
      <c r="C13" s="10">
        <f>C12*C3</f>
        <v>342509</v>
      </c>
      <c r="D13" s="10">
        <f t="shared" ref="D13:G13" si="1">D12*D3</f>
        <v>36621</v>
      </c>
      <c r="E13" s="10">
        <f t="shared" si="1"/>
        <v>32054</v>
      </c>
      <c r="F13" s="10">
        <f t="shared" si="1"/>
        <v>-26770</v>
      </c>
      <c r="G13" s="10" t="e">
        <f t="shared" si="1"/>
        <v>#DIV/0!</v>
      </c>
    </row>
    <row r="14" spans="1:7" ht="21.75" customHeight="1">
      <c r="A14" s="5" t="s">
        <v>90</v>
      </c>
      <c r="B14" s="9">
        <f>(B12/(B7)*(360/B6))</f>
        <v>0.90489799934411086</v>
      </c>
      <c r="C14" s="9">
        <f>(C12/(C7)*(360/C6))</f>
        <v>2.945922054393959</v>
      </c>
      <c r="D14" s="9">
        <f t="shared" ref="D14:G14" si="2">(D12/(D7)*(360/D6))</f>
        <v>0.4140804497695349</v>
      </c>
      <c r="E14" s="9">
        <f t="shared" si="2"/>
        <v>0.28011390780054701</v>
      </c>
      <c r="F14" s="9">
        <f t="shared" si="2"/>
        <v>-0.26668187820204875</v>
      </c>
      <c r="G14" s="9" t="e">
        <f t="shared" si="2"/>
        <v>#DIV/0!</v>
      </c>
    </row>
    <row r="15" spans="1:7" ht="21.75" customHeight="1">
      <c r="A15" s="5" t="s">
        <v>137</v>
      </c>
      <c r="B15" s="9">
        <f>'Sales Log'!AA214/'Scoreboard Total'!B3</f>
        <v>0.46951219512195119</v>
      </c>
      <c r="C15" s="9">
        <f>COUNTIFS('Sales Log'!$W$14:$W$213,30,'Sales Log'!$AA$14:$AA$213,"Yes")/C$3</f>
        <v>0.47727272727272729</v>
      </c>
      <c r="D15" s="9">
        <f>COUNTIFS('Sales Log'!$W$14:$W$213,45,'Sales Log'!$AA$14:$AA$213,"Yes")/D$3</f>
        <v>0.41935483870967744</v>
      </c>
      <c r="E15" s="9">
        <f>COUNTIFS('Sales Log'!$W$14:$W$213,60,'Sales Log'!$AA$14:$AA$213,"Yes")/E$3</f>
        <v>0.59259259259259256</v>
      </c>
      <c r="F15" s="9">
        <f>COUNTIFS('Sales Log'!$W$14:$W$213,90,'Sales Log'!$AA$14:$AA$213,"Yes")/F$3</f>
        <v>0.33333333333333331</v>
      </c>
      <c r="G15" s="9" t="e">
        <f>COUNTIFS('Sales Log'!$W$14:$W$213,91,'Sales Log'!$AA$14:$AA$213,"Yes")/G$3</f>
        <v>#DIV/0!</v>
      </c>
    </row>
    <row r="16" spans="1:7" ht="21.75" customHeight="1">
      <c r="A16" s="5" t="s">
        <v>138</v>
      </c>
      <c r="B16" s="114">
        <f>'Sales Log'!$AB$214</f>
        <v>-485.7560975609756</v>
      </c>
      <c r="C16" s="114">
        <f>AVERAGEIF('Sales Log'!$W$14:$W$213,30,'Sales Log'!$AB$14:$AB$213)</f>
        <v>-515.40909090909088</v>
      </c>
      <c r="D16" s="114">
        <f>AVERAGEIF('Sales Log'!$W$14:$W$213,45,'Sales Log'!$AB$14:$AB$213)</f>
        <v>-538.83870967741939</v>
      </c>
      <c r="E16" s="114">
        <f>AVERAGEIF('Sales Log'!$W$14:$W$213,60,'Sales Log'!$AB$14:$AB$213)</f>
        <v>-310.48148148148147</v>
      </c>
      <c r="F16" s="114">
        <f>AVERAGEIF('Sales Log'!$W$14:$W$213,90,'Sales Log'!$AB$14:$AB$213)</f>
        <v>-512.27777777777783</v>
      </c>
      <c r="G16" s="114" t="e">
        <f>AVERAGEIF('Sales Log'!$W$14:$W$213,91,'Sales Log'!$AB$14:$AB$213)</f>
        <v>#DIV/0!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85" zoomScaleNormal="85" workbookViewId="0">
      <pane ySplit="13" topLeftCell="A163" activePane="bottomLeft" state="frozen"/>
      <selection pane="bottomLeft" activeCell="B178" sqref="B178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5.285156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.5703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5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 t="s">
        <v>104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Yes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 ht="15">
      <c r="A14" s="15">
        <v>1</v>
      </c>
      <c r="B14" s="15" t="s">
        <v>173</v>
      </c>
      <c r="C14" s="16">
        <v>2020</v>
      </c>
      <c r="D14" s="75" t="s">
        <v>16</v>
      </c>
      <c r="E14" s="16" t="s">
        <v>174</v>
      </c>
      <c r="F14" s="17">
        <v>40</v>
      </c>
      <c r="G14" s="75" t="s">
        <v>103</v>
      </c>
      <c r="H14" s="75" t="s">
        <v>104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36594</v>
      </c>
      <c r="K14" s="37">
        <v>36594</v>
      </c>
      <c r="L14" s="77">
        <v>0.97</v>
      </c>
      <c r="M14" s="78">
        <f t="shared" ref="M14:M15" si="3">J14/L14</f>
        <v>37725.773195876289</v>
      </c>
      <c r="N14" s="79">
        <f t="shared" ref="N14:N15" si="4">K14/M14</f>
        <v>0.97</v>
      </c>
      <c r="O14" s="80">
        <f t="shared" ref="O14:O15" si="5">IF(K14=0,"BLANK",(J14-K14))</f>
        <v>0</v>
      </c>
      <c r="P14" s="19">
        <v>-1892</v>
      </c>
      <c r="Q14" s="19">
        <v>1411</v>
      </c>
      <c r="R14" s="81">
        <f t="shared" ref="R14:R15" si="6">IF(K14=0,"BLANK",SUM(P14:Q14))</f>
        <v>-481</v>
      </c>
      <c r="S14" s="82">
        <f t="shared" ref="S14:S15" si="7">(R14/(K14-P14))*(360/F14)</f>
        <v>-0.11248246115470562</v>
      </c>
      <c r="T14" s="83" t="s">
        <v>162</v>
      </c>
      <c r="U14" s="83" t="s">
        <v>153</v>
      </c>
      <c r="V14" s="83" t="s">
        <v>155</v>
      </c>
      <c r="W14" s="113">
        <f t="shared" si="2"/>
        <v>45</v>
      </c>
      <c r="X14" s="74" t="s">
        <v>110</v>
      </c>
      <c r="Y14" s="74" t="s">
        <v>108</v>
      </c>
      <c r="Z14" s="74" t="s">
        <v>111</v>
      </c>
      <c r="AA14" s="75" t="s">
        <v>108</v>
      </c>
      <c r="AB14" s="44">
        <v>-3000</v>
      </c>
    </row>
    <row r="15" spans="1:28" ht="15">
      <c r="A15" s="15">
        <f t="shared" ref="A15:A78" si="8">A14+1</f>
        <v>2</v>
      </c>
      <c r="B15" s="15" t="s">
        <v>175</v>
      </c>
      <c r="C15" s="16">
        <v>2017</v>
      </c>
      <c r="D15" s="75" t="s">
        <v>30</v>
      </c>
      <c r="E15" s="16" t="s">
        <v>176</v>
      </c>
      <c r="F15" s="17">
        <v>61</v>
      </c>
      <c r="G15" s="75" t="s">
        <v>103</v>
      </c>
      <c r="H15" s="75" t="s">
        <v>104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7">
        <v>13487</v>
      </c>
      <c r="K15" s="37">
        <v>15487</v>
      </c>
      <c r="L15" s="35">
        <v>0.88</v>
      </c>
      <c r="M15" s="78">
        <f t="shared" si="3"/>
        <v>15326.136363636364</v>
      </c>
      <c r="N15" s="79">
        <f t="shared" si="4"/>
        <v>1.010496033217172</v>
      </c>
      <c r="O15" s="80">
        <f t="shared" si="5"/>
        <v>-2000</v>
      </c>
      <c r="P15" s="19">
        <v>-2960</v>
      </c>
      <c r="Q15" s="19">
        <v>3841</v>
      </c>
      <c r="R15" s="81">
        <f t="shared" si="6"/>
        <v>881</v>
      </c>
      <c r="S15" s="82">
        <f t="shared" si="7"/>
        <v>0.28185310686263793</v>
      </c>
      <c r="T15" s="83" t="s">
        <v>159</v>
      </c>
      <c r="U15" s="83" t="s">
        <v>153</v>
      </c>
      <c r="V15" s="83" t="s">
        <v>155</v>
      </c>
      <c r="W15" s="113">
        <f t="shared" si="2"/>
        <v>90</v>
      </c>
      <c r="X15" s="74" t="s">
        <v>112</v>
      </c>
      <c r="Z15" s="74" t="s">
        <v>113</v>
      </c>
      <c r="AA15" s="75" t="s">
        <v>108</v>
      </c>
      <c r="AB15" s="44">
        <v>-4650</v>
      </c>
    </row>
    <row r="16" spans="1:28" ht="15">
      <c r="A16" s="15">
        <f t="shared" si="8"/>
        <v>3</v>
      </c>
      <c r="B16" s="15" t="s">
        <v>177</v>
      </c>
      <c r="C16" s="16">
        <v>2022</v>
      </c>
      <c r="D16" s="75" t="s">
        <v>17</v>
      </c>
      <c r="E16" s="16" t="s">
        <v>178</v>
      </c>
      <c r="F16" s="17">
        <v>69</v>
      </c>
      <c r="G16" s="75" t="s">
        <v>103</v>
      </c>
      <c r="H16" s="75" t="s">
        <v>108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25407</v>
      </c>
      <c r="K16" s="37">
        <v>26407</v>
      </c>
      <c r="L16" s="35">
        <v>0.9</v>
      </c>
      <c r="M16" s="78">
        <f t="shared" ref="M16:M78" si="9">J16/L16</f>
        <v>28230</v>
      </c>
      <c r="N16" s="79">
        <f t="shared" ref="N16:N78" si="10">K16/M16</f>
        <v>0.93542330853701738</v>
      </c>
      <c r="O16" s="80">
        <f t="shared" si="0"/>
        <v>-1000</v>
      </c>
      <c r="P16" s="19">
        <v>67</v>
      </c>
      <c r="Q16" s="19">
        <v>1131</v>
      </c>
      <c r="R16" s="81">
        <f t="shared" si="1"/>
        <v>1198</v>
      </c>
      <c r="S16" s="82">
        <f t="shared" ref="S16:S78" si="11">(R16/(K16-P16))*(360/F16)</f>
        <v>0.23729820738833315</v>
      </c>
      <c r="T16" s="83" t="s">
        <v>166</v>
      </c>
      <c r="U16" s="83" t="s">
        <v>153</v>
      </c>
      <c r="V16" s="83" t="s">
        <v>155</v>
      </c>
      <c r="W16" s="113">
        <f t="shared" si="2"/>
        <v>90</v>
      </c>
      <c r="X16" s="74" t="s">
        <v>109</v>
      </c>
      <c r="Z16" s="74" t="s">
        <v>114</v>
      </c>
      <c r="AA16" s="75" t="s">
        <v>108</v>
      </c>
      <c r="AB16" s="44">
        <v>-500</v>
      </c>
    </row>
    <row r="17" spans="1:28" ht="15">
      <c r="A17" s="15">
        <f t="shared" si="8"/>
        <v>4</v>
      </c>
      <c r="B17" s="15" t="s">
        <v>179</v>
      </c>
      <c r="C17" s="16">
        <v>2015</v>
      </c>
      <c r="D17" s="75" t="s">
        <v>17</v>
      </c>
      <c r="E17" s="16" t="s">
        <v>180</v>
      </c>
      <c r="F17" s="17">
        <v>16</v>
      </c>
      <c r="G17" s="75" t="s">
        <v>103</v>
      </c>
      <c r="H17" s="75" t="s">
        <v>104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36089</v>
      </c>
      <c r="K17" s="37">
        <v>35972</v>
      </c>
      <c r="L17" s="35">
        <v>0.83</v>
      </c>
      <c r="M17" s="78">
        <f t="shared" si="9"/>
        <v>43480.722891566264</v>
      </c>
      <c r="N17" s="79">
        <f t="shared" si="10"/>
        <v>0.82730915237329938</v>
      </c>
      <c r="O17" s="80">
        <f t="shared" si="0"/>
        <v>117</v>
      </c>
      <c r="P17" s="19">
        <v>2686</v>
      </c>
      <c r="Q17" s="19">
        <v>1697</v>
      </c>
      <c r="R17" s="81">
        <f t="shared" si="1"/>
        <v>4383</v>
      </c>
      <c r="S17" s="82">
        <f t="shared" si="11"/>
        <v>2.962732079552965</v>
      </c>
      <c r="T17" s="83" t="s">
        <v>158</v>
      </c>
      <c r="U17" s="83" t="s">
        <v>153</v>
      </c>
      <c r="V17" s="83" t="s">
        <v>157</v>
      </c>
      <c r="W17" s="113">
        <f t="shared" si="2"/>
        <v>30</v>
      </c>
      <c r="X17" s="74" t="s">
        <v>115</v>
      </c>
      <c r="Z17" s="74" t="s">
        <v>116</v>
      </c>
      <c r="AA17" s="75" t="s">
        <v>104</v>
      </c>
      <c r="AB17" s="44">
        <v>0</v>
      </c>
    </row>
    <row r="18" spans="1:28" ht="15">
      <c r="A18" s="15">
        <f t="shared" si="8"/>
        <v>5</v>
      </c>
      <c r="B18" s="15" t="s">
        <v>181</v>
      </c>
      <c r="C18" s="16">
        <v>2021</v>
      </c>
      <c r="D18" s="75" t="s">
        <v>17</v>
      </c>
      <c r="E18" s="16" t="s">
        <v>178</v>
      </c>
      <c r="F18" s="17">
        <v>26</v>
      </c>
      <c r="G18" s="75" t="s">
        <v>103</v>
      </c>
      <c r="H18" s="75" t="s">
        <v>108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22487</v>
      </c>
      <c r="K18" s="37">
        <v>23487</v>
      </c>
      <c r="L18" s="35">
        <v>0.93</v>
      </c>
      <c r="M18" s="78">
        <f t="shared" si="9"/>
        <v>24179.569892473119</v>
      </c>
      <c r="N18" s="79">
        <f t="shared" si="10"/>
        <v>0.97135722862098095</v>
      </c>
      <c r="O18" s="80">
        <f t="shared" si="0"/>
        <v>-1000</v>
      </c>
      <c r="P18" s="19">
        <v>3493</v>
      </c>
      <c r="Q18" s="19">
        <v>2897</v>
      </c>
      <c r="R18" s="81">
        <f t="shared" si="1"/>
        <v>6390</v>
      </c>
      <c r="S18" s="82">
        <f t="shared" si="11"/>
        <v>4.4251737059579419</v>
      </c>
      <c r="T18" s="83" t="s">
        <v>161</v>
      </c>
      <c r="U18" s="83" t="s">
        <v>196</v>
      </c>
      <c r="V18" s="83" t="s">
        <v>156</v>
      </c>
      <c r="W18" s="113">
        <f t="shared" si="2"/>
        <v>30</v>
      </c>
      <c r="X18" s="74" t="s">
        <v>117</v>
      </c>
      <c r="AA18" s="75" t="s">
        <v>108</v>
      </c>
      <c r="AB18" s="44">
        <v>-999</v>
      </c>
    </row>
    <row r="19" spans="1:28" ht="15">
      <c r="A19" s="15">
        <f t="shared" si="8"/>
        <v>6</v>
      </c>
      <c r="B19" s="15" t="s">
        <v>182</v>
      </c>
      <c r="C19" s="16">
        <v>2022</v>
      </c>
      <c r="D19" s="75" t="s">
        <v>34</v>
      </c>
      <c r="E19" s="16" t="s">
        <v>183</v>
      </c>
      <c r="F19" s="17">
        <v>35</v>
      </c>
      <c r="G19" s="75" t="s">
        <v>103</v>
      </c>
      <c r="H19" s="75" t="s">
        <v>104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55971</v>
      </c>
      <c r="K19" s="37">
        <v>55987</v>
      </c>
      <c r="L19" s="35">
        <v>0.96</v>
      </c>
      <c r="M19" s="78">
        <f t="shared" si="9"/>
        <v>58303.125</v>
      </c>
      <c r="N19" s="79">
        <f t="shared" si="10"/>
        <v>0.96027442782869699</v>
      </c>
      <c r="O19" s="80">
        <f t="shared" si="0"/>
        <v>-16</v>
      </c>
      <c r="P19" s="19">
        <v>1916</v>
      </c>
      <c r="Q19" s="19">
        <v>0</v>
      </c>
      <c r="R19" s="81">
        <f t="shared" si="1"/>
        <v>1916</v>
      </c>
      <c r="S19" s="82">
        <f t="shared" si="11"/>
        <v>0.36447316623381426</v>
      </c>
      <c r="T19" s="83" t="s">
        <v>161</v>
      </c>
      <c r="U19" s="83" t="s">
        <v>154</v>
      </c>
      <c r="V19" s="83" t="s">
        <v>157</v>
      </c>
      <c r="W19" s="113">
        <f t="shared" si="2"/>
        <v>45</v>
      </c>
      <c r="X19" s="74" t="s">
        <v>118</v>
      </c>
      <c r="AA19" s="75" t="s">
        <v>108</v>
      </c>
      <c r="AB19" s="44">
        <v>-1254</v>
      </c>
    </row>
    <row r="20" spans="1:28" ht="15">
      <c r="A20" s="15">
        <f t="shared" si="8"/>
        <v>7</v>
      </c>
      <c r="B20" s="15" t="s">
        <v>184</v>
      </c>
      <c r="C20" s="16">
        <v>2019</v>
      </c>
      <c r="D20" s="75" t="s">
        <v>7</v>
      </c>
      <c r="E20" s="16" t="s">
        <v>185</v>
      </c>
      <c r="F20" s="17">
        <v>23</v>
      </c>
      <c r="G20" s="75" t="s">
        <v>103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22253</v>
      </c>
      <c r="K20" s="37">
        <v>22850</v>
      </c>
      <c r="L20" s="35">
        <v>0.98</v>
      </c>
      <c r="M20" s="78">
        <f t="shared" si="9"/>
        <v>22707.142857142859</v>
      </c>
      <c r="N20" s="79">
        <f t="shared" si="10"/>
        <v>1.0062912865681031</v>
      </c>
      <c r="O20" s="80">
        <f t="shared" si="0"/>
        <v>-597</v>
      </c>
      <c r="P20" s="19">
        <v>2036</v>
      </c>
      <c r="Q20" s="19">
        <v>2206</v>
      </c>
      <c r="R20" s="81">
        <f t="shared" si="1"/>
        <v>4242</v>
      </c>
      <c r="S20" s="82">
        <f t="shared" si="11"/>
        <v>3.1899933573138481</v>
      </c>
      <c r="T20" s="83" t="s">
        <v>168</v>
      </c>
      <c r="U20" s="83" t="s">
        <v>196</v>
      </c>
      <c r="V20" s="83" t="s">
        <v>155</v>
      </c>
      <c r="W20" s="113">
        <f t="shared" si="2"/>
        <v>30</v>
      </c>
      <c r="X20" s="74" t="s">
        <v>119</v>
      </c>
      <c r="AA20" s="75" t="s">
        <v>108</v>
      </c>
      <c r="AB20" s="44">
        <v>-249</v>
      </c>
    </row>
    <row r="21" spans="1:28" ht="15">
      <c r="A21" s="15">
        <f t="shared" si="8"/>
        <v>8</v>
      </c>
      <c r="B21" s="15" t="s">
        <v>186</v>
      </c>
      <c r="C21" s="16">
        <v>2018</v>
      </c>
      <c r="D21" s="75" t="s">
        <v>17</v>
      </c>
      <c r="E21" s="16" t="s">
        <v>187</v>
      </c>
      <c r="F21" s="17">
        <v>1</v>
      </c>
      <c r="G21" s="75" t="s">
        <v>103</v>
      </c>
      <c r="H21" s="75" t="s">
        <v>104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31987</v>
      </c>
      <c r="K21" s="37">
        <v>31987</v>
      </c>
      <c r="L21" s="35">
        <v>1.1299999999999999</v>
      </c>
      <c r="M21" s="78">
        <f t="shared" si="9"/>
        <v>28307.079646017701</v>
      </c>
      <c r="N21" s="79">
        <f t="shared" si="10"/>
        <v>1.1299999999999999</v>
      </c>
      <c r="O21" s="80">
        <f t="shared" si="0"/>
        <v>0</v>
      </c>
      <c r="P21" s="19">
        <v>2200</v>
      </c>
      <c r="Q21" s="19">
        <v>3694</v>
      </c>
      <c r="R21" s="81">
        <f t="shared" si="1"/>
        <v>5894</v>
      </c>
      <c r="S21" s="82">
        <f t="shared" si="11"/>
        <v>71.233759693826158</v>
      </c>
      <c r="T21" s="83" t="s">
        <v>159</v>
      </c>
      <c r="U21" s="83" t="s">
        <v>153</v>
      </c>
      <c r="V21" s="83" t="s">
        <v>155</v>
      </c>
      <c r="W21" s="113">
        <f t="shared" si="2"/>
        <v>30</v>
      </c>
      <c r="X21" s="74" t="s">
        <v>120</v>
      </c>
      <c r="AA21" s="75" t="s">
        <v>108</v>
      </c>
      <c r="AB21" s="44">
        <v>-7500</v>
      </c>
    </row>
    <row r="22" spans="1:28" ht="15">
      <c r="A22" s="15">
        <f t="shared" si="8"/>
        <v>9</v>
      </c>
      <c r="B22" s="15" t="s">
        <v>188</v>
      </c>
      <c r="C22" s="16">
        <v>2021</v>
      </c>
      <c r="D22" s="75" t="s">
        <v>43</v>
      </c>
      <c r="E22" s="16" t="s">
        <v>189</v>
      </c>
      <c r="F22" s="17">
        <v>54</v>
      </c>
      <c r="G22" s="75" t="s">
        <v>110</v>
      </c>
      <c r="H22" s="75" t="s">
        <v>104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24442</v>
      </c>
      <c r="K22" s="37">
        <v>25442</v>
      </c>
      <c r="L22" s="35">
        <v>0.9</v>
      </c>
      <c r="M22" s="78">
        <f t="shared" si="9"/>
        <v>27157.777777777777</v>
      </c>
      <c r="N22" s="79">
        <f t="shared" si="10"/>
        <v>0.93682186400458234</v>
      </c>
      <c r="O22" s="80">
        <f t="shared" si="0"/>
        <v>-1000</v>
      </c>
      <c r="P22" s="19">
        <v>679</v>
      </c>
      <c r="Q22" s="19">
        <v>4457</v>
      </c>
      <c r="R22" s="81">
        <f t="shared" si="1"/>
        <v>5136</v>
      </c>
      <c r="S22" s="82">
        <f t="shared" si="11"/>
        <v>1.3827080725275613</v>
      </c>
      <c r="T22" s="83" t="s">
        <v>170</v>
      </c>
      <c r="U22" s="83" t="s">
        <v>153</v>
      </c>
      <c r="V22" s="83" t="s">
        <v>157</v>
      </c>
      <c r="W22" s="113">
        <f t="shared" si="2"/>
        <v>60</v>
      </c>
      <c r="AA22" s="75" t="s">
        <v>104</v>
      </c>
      <c r="AB22" s="44">
        <v>0</v>
      </c>
    </row>
    <row r="23" spans="1:28" ht="15">
      <c r="A23" s="15">
        <f t="shared" si="8"/>
        <v>10</v>
      </c>
      <c r="B23" s="15" t="s">
        <v>190</v>
      </c>
      <c r="C23" s="16">
        <v>2020</v>
      </c>
      <c r="D23" s="75" t="s">
        <v>23</v>
      </c>
      <c r="E23" s="16" t="s">
        <v>191</v>
      </c>
      <c r="F23" s="17">
        <v>10</v>
      </c>
      <c r="G23" s="75" t="s">
        <v>112</v>
      </c>
      <c r="H23" s="75" t="s">
        <v>108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37987</v>
      </c>
      <c r="K23" s="37">
        <v>37400</v>
      </c>
      <c r="L23" s="35">
        <v>1</v>
      </c>
      <c r="M23" s="78">
        <f t="shared" si="9"/>
        <v>37987</v>
      </c>
      <c r="N23" s="79">
        <f t="shared" si="10"/>
        <v>0.98454734514439146</v>
      </c>
      <c r="O23" s="80">
        <f t="shared" si="0"/>
        <v>587</v>
      </c>
      <c r="P23" s="19">
        <v>2401</v>
      </c>
      <c r="Q23" s="19">
        <v>100</v>
      </c>
      <c r="R23" s="81">
        <f t="shared" si="1"/>
        <v>2501</v>
      </c>
      <c r="S23" s="82">
        <f t="shared" si="11"/>
        <v>2.5725306437326783</v>
      </c>
      <c r="T23" s="83" t="s">
        <v>158</v>
      </c>
      <c r="U23" s="83" t="s">
        <v>196</v>
      </c>
      <c r="V23" s="83" t="s">
        <v>157</v>
      </c>
      <c r="W23" s="113">
        <f t="shared" si="2"/>
        <v>30</v>
      </c>
      <c r="AA23" s="75" t="s">
        <v>104</v>
      </c>
      <c r="AB23" s="44">
        <v>0</v>
      </c>
    </row>
    <row r="24" spans="1:28" ht="15">
      <c r="A24" s="15">
        <f t="shared" si="8"/>
        <v>11</v>
      </c>
      <c r="B24" s="15" t="s">
        <v>192</v>
      </c>
      <c r="C24" s="16">
        <v>2020</v>
      </c>
      <c r="D24" s="75" t="s">
        <v>18</v>
      </c>
      <c r="E24" s="16" t="s">
        <v>193</v>
      </c>
      <c r="F24" s="17">
        <v>2</v>
      </c>
      <c r="G24" s="75" t="s">
        <v>103</v>
      </c>
      <c r="H24" s="75" t="s">
        <v>104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7">
        <v>28487</v>
      </c>
      <c r="K24" s="37">
        <v>28487</v>
      </c>
      <c r="L24" s="35">
        <v>0.95</v>
      </c>
      <c r="M24" s="78">
        <f t="shared" si="9"/>
        <v>29986.315789473687</v>
      </c>
      <c r="N24" s="79">
        <f t="shared" si="10"/>
        <v>0.95</v>
      </c>
      <c r="O24" s="80">
        <f t="shared" si="0"/>
        <v>0</v>
      </c>
      <c r="P24" s="19">
        <v>1252</v>
      </c>
      <c r="Q24" s="19">
        <v>2248</v>
      </c>
      <c r="R24" s="81">
        <f t="shared" si="1"/>
        <v>3500</v>
      </c>
      <c r="S24" s="82">
        <f t="shared" si="11"/>
        <v>23.131999265650816</v>
      </c>
      <c r="T24" s="83" t="s">
        <v>164</v>
      </c>
      <c r="U24" s="83" t="s">
        <v>153</v>
      </c>
      <c r="V24" s="83" t="s">
        <v>155</v>
      </c>
      <c r="W24" s="113">
        <f t="shared" si="2"/>
        <v>30</v>
      </c>
      <c r="AA24" s="75" t="s">
        <v>108</v>
      </c>
      <c r="AB24" s="44">
        <v>-1233</v>
      </c>
    </row>
    <row r="25" spans="1:28" ht="15">
      <c r="A25" s="15">
        <f t="shared" si="8"/>
        <v>12</v>
      </c>
      <c r="B25" s="15" t="s">
        <v>194</v>
      </c>
      <c r="C25" s="16">
        <v>2020</v>
      </c>
      <c r="D25" s="75" t="s">
        <v>17</v>
      </c>
      <c r="E25" s="16" t="s">
        <v>195</v>
      </c>
      <c r="F25" s="17">
        <v>21</v>
      </c>
      <c r="G25" s="75" t="s">
        <v>109</v>
      </c>
      <c r="H25" s="75" t="s">
        <v>108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25487</v>
      </c>
      <c r="K25" s="37">
        <v>26787</v>
      </c>
      <c r="L25" s="35">
        <v>0.94</v>
      </c>
      <c r="M25" s="78">
        <f t="shared" si="9"/>
        <v>27113.829787234044</v>
      </c>
      <c r="N25" s="79">
        <f t="shared" si="10"/>
        <v>0.98794601169223517</v>
      </c>
      <c r="O25" s="80">
        <f t="shared" si="0"/>
        <v>-1300</v>
      </c>
      <c r="P25" s="19">
        <v>1342</v>
      </c>
      <c r="Q25" s="19">
        <v>601</v>
      </c>
      <c r="R25" s="81">
        <f t="shared" si="1"/>
        <v>1943</v>
      </c>
      <c r="S25" s="82">
        <f t="shared" si="11"/>
        <v>1.309041911124835</v>
      </c>
      <c r="T25" s="83" t="s">
        <v>165</v>
      </c>
      <c r="U25" s="83" t="s">
        <v>196</v>
      </c>
      <c r="V25" s="83" t="s">
        <v>155</v>
      </c>
      <c r="W25" s="113">
        <f t="shared" si="2"/>
        <v>30</v>
      </c>
      <c r="AA25" s="75" t="s">
        <v>108</v>
      </c>
      <c r="AB25" s="44">
        <v>-2000</v>
      </c>
    </row>
    <row r="26" spans="1:28" ht="15">
      <c r="A26" s="15">
        <f t="shared" si="8"/>
        <v>13</v>
      </c>
      <c r="B26" s="15" t="s">
        <v>197</v>
      </c>
      <c r="C26" s="16">
        <v>2020</v>
      </c>
      <c r="D26" s="75" t="s">
        <v>54</v>
      </c>
      <c r="E26" s="16" t="s">
        <v>198</v>
      </c>
      <c r="F26" s="17">
        <v>54</v>
      </c>
      <c r="G26" s="75" t="s">
        <v>120</v>
      </c>
      <c r="H26" s="75" t="s">
        <v>104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7">
        <v>22533</v>
      </c>
      <c r="K26" s="37">
        <v>22533</v>
      </c>
      <c r="L26" s="35">
        <v>1.0900000000000001</v>
      </c>
      <c r="M26" s="78">
        <f t="shared" si="9"/>
        <v>20672.47706422018</v>
      </c>
      <c r="N26" s="79">
        <f t="shared" si="10"/>
        <v>1.0900000000000001</v>
      </c>
      <c r="O26" s="80">
        <f t="shared" si="0"/>
        <v>0</v>
      </c>
      <c r="P26" s="19">
        <v>-1896</v>
      </c>
      <c r="Q26" s="19">
        <v>3065</v>
      </c>
      <c r="R26" s="81">
        <f t="shared" si="1"/>
        <v>1169</v>
      </c>
      <c r="S26" s="82">
        <f t="shared" si="11"/>
        <v>0.31901974429298513</v>
      </c>
      <c r="T26" s="83" t="s">
        <v>170</v>
      </c>
      <c r="U26" s="83" t="s">
        <v>196</v>
      </c>
      <c r="V26" s="83" t="s">
        <v>156</v>
      </c>
      <c r="W26" s="113">
        <f t="shared" si="2"/>
        <v>60</v>
      </c>
      <c r="AA26" s="75" t="s">
        <v>108</v>
      </c>
      <c r="AB26" s="44">
        <v>0</v>
      </c>
    </row>
    <row r="27" spans="1:28" ht="15">
      <c r="A27" s="15">
        <f t="shared" si="8"/>
        <v>14</v>
      </c>
      <c r="B27" s="15" t="s">
        <v>199</v>
      </c>
      <c r="C27" s="16">
        <v>2020</v>
      </c>
      <c r="D27" s="75" t="s">
        <v>17</v>
      </c>
      <c r="E27" s="16" t="s">
        <v>187</v>
      </c>
      <c r="F27" s="17">
        <v>5</v>
      </c>
      <c r="G27" s="75" t="s">
        <v>103</v>
      </c>
      <c r="H27" s="75" t="s">
        <v>104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31987</v>
      </c>
      <c r="K27" s="37">
        <v>31987</v>
      </c>
      <c r="L27" s="35">
        <v>1</v>
      </c>
      <c r="M27" s="78">
        <f t="shared" si="9"/>
        <v>31987</v>
      </c>
      <c r="N27" s="79">
        <f t="shared" si="10"/>
        <v>1</v>
      </c>
      <c r="O27" s="80">
        <f t="shared" si="0"/>
        <v>0</v>
      </c>
      <c r="P27" s="19">
        <v>6426</v>
      </c>
      <c r="Q27" s="19">
        <v>2018</v>
      </c>
      <c r="R27" s="81">
        <f t="shared" si="1"/>
        <v>8444</v>
      </c>
      <c r="S27" s="82">
        <f t="shared" si="11"/>
        <v>23.784984937991474</v>
      </c>
      <c r="T27" s="83" t="s">
        <v>170</v>
      </c>
      <c r="U27" s="83" t="s">
        <v>154</v>
      </c>
      <c r="V27" s="83" t="s">
        <v>156</v>
      </c>
      <c r="W27" s="113">
        <f t="shared" si="2"/>
        <v>30</v>
      </c>
      <c r="AA27" s="75" t="s">
        <v>108</v>
      </c>
      <c r="AB27" s="44">
        <v>0</v>
      </c>
    </row>
    <row r="28" spans="1:28" ht="15">
      <c r="A28" s="15">
        <f t="shared" si="8"/>
        <v>15</v>
      </c>
      <c r="B28" s="15" t="s">
        <v>200</v>
      </c>
      <c r="C28" s="16">
        <v>2018</v>
      </c>
      <c r="D28" s="75" t="s">
        <v>17</v>
      </c>
      <c r="E28" s="16" t="s">
        <v>102</v>
      </c>
      <c r="F28" s="17">
        <v>38</v>
      </c>
      <c r="G28" s="75" t="s">
        <v>110</v>
      </c>
      <c r="H28" s="75" t="s">
        <v>104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18689</v>
      </c>
      <c r="K28" s="37">
        <v>17869</v>
      </c>
      <c r="L28" s="35">
        <v>0.95</v>
      </c>
      <c r="M28" s="78">
        <f t="shared" si="9"/>
        <v>19672.63157894737</v>
      </c>
      <c r="N28" s="79">
        <f t="shared" si="10"/>
        <v>0.90831772700519009</v>
      </c>
      <c r="O28" s="80">
        <f t="shared" si="0"/>
        <v>820</v>
      </c>
      <c r="P28" s="19">
        <v>-3782</v>
      </c>
      <c r="Q28" s="19">
        <v>1614</v>
      </c>
      <c r="R28" s="81">
        <f t="shared" si="1"/>
        <v>-2168</v>
      </c>
      <c r="S28" s="82">
        <f t="shared" si="11"/>
        <v>-0.94863735478366129</v>
      </c>
      <c r="T28" s="83" t="s">
        <v>159</v>
      </c>
      <c r="U28" s="83" t="s">
        <v>154</v>
      </c>
      <c r="V28" s="83" t="s">
        <v>157</v>
      </c>
      <c r="W28" s="113">
        <f t="shared" si="2"/>
        <v>45</v>
      </c>
      <c r="AA28" s="75" t="s">
        <v>108</v>
      </c>
      <c r="AB28" s="44">
        <v>400</v>
      </c>
    </row>
    <row r="29" spans="1:28" ht="15">
      <c r="A29" s="15">
        <f t="shared" si="8"/>
        <v>16</v>
      </c>
      <c r="B29" s="15" t="s">
        <v>201</v>
      </c>
      <c r="C29" s="16">
        <v>2022</v>
      </c>
      <c r="D29" s="75" t="s">
        <v>15</v>
      </c>
      <c r="E29" s="16" t="s">
        <v>202</v>
      </c>
      <c r="F29" s="17">
        <v>12</v>
      </c>
      <c r="G29" s="75" t="s">
        <v>103</v>
      </c>
      <c r="H29" s="75" t="s">
        <v>108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36987</v>
      </c>
      <c r="K29" s="37">
        <v>36987</v>
      </c>
      <c r="L29" s="35">
        <v>0.99</v>
      </c>
      <c r="M29" s="78">
        <f t="shared" si="9"/>
        <v>37360.606060606064</v>
      </c>
      <c r="N29" s="79">
        <f t="shared" si="10"/>
        <v>0.98999999999999988</v>
      </c>
      <c r="O29" s="80">
        <f t="shared" si="0"/>
        <v>0</v>
      </c>
      <c r="P29" s="19">
        <v>1563</v>
      </c>
      <c r="Q29" s="19">
        <v>3716</v>
      </c>
      <c r="R29" s="81">
        <f t="shared" si="1"/>
        <v>5279</v>
      </c>
      <c r="S29" s="82">
        <f t="shared" si="11"/>
        <v>4.4706978319783195</v>
      </c>
      <c r="T29" s="83" t="s">
        <v>158</v>
      </c>
      <c r="U29" s="83" t="s">
        <v>196</v>
      </c>
      <c r="V29" s="83" t="s">
        <v>155</v>
      </c>
      <c r="W29" s="113">
        <f t="shared" si="2"/>
        <v>30</v>
      </c>
      <c r="AA29" s="75" t="s">
        <v>108</v>
      </c>
      <c r="AB29" s="44">
        <v>-1163</v>
      </c>
    </row>
    <row r="30" spans="1:28" ht="15">
      <c r="A30" s="15">
        <f t="shared" si="8"/>
        <v>17</v>
      </c>
      <c r="B30" s="15" t="s">
        <v>203</v>
      </c>
      <c r="C30" s="16">
        <v>2022</v>
      </c>
      <c r="D30" s="75" t="s">
        <v>17</v>
      </c>
      <c r="E30" s="16" t="s">
        <v>204</v>
      </c>
      <c r="F30" s="17">
        <v>72</v>
      </c>
      <c r="G30" s="75" t="s">
        <v>103</v>
      </c>
      <c r="H30" s="75" t="s">
        <v>108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51587</v>
      </c>
      <c r="K30" s="37">
        <v>51587</v>
      </c>
      <c r="L30" s="35">
        <v>0.91</v>
      </c>
      <c r="M30" s="78">
        <f t="shared" si="9"/>
        <v>56689.010989010989</v>
      </c>
      <c r="N30" s="79">
        <f t="shared" si="10"/>
        <v>0.91</v>
      </c>
      <c r="O30" s="80">
        <f t="shared" si="0"/>
        <v>0</v>
      </c>
      <c r="P30" s="19">
        <v>-6726</v>
      </c>
      <c r="Q30" s="19">
        <v>5240</v>
      </c>
      <c r="R30" s="81">
        <f t="shared" si="1"/>
        <v>-1486</v>
      </c>
      <c r="S30" s="82">
        <f t="shared" si="11"/>
        <v>-0.12741584209352974</v>
      </c>
      <c r="T30" s="83" t="s">
        <v>169</v>
      </c>
      <c r="U30" s="83" t="s">
        <v>154</v>
      </c>
      <c r="V30" s="83" t="s">
        <v>157</v>
      </c>
      <c r="W30" s="113">
        <f t="shared" si="2"/>
        <v>90</v>
      </c>
      <c r="AA30" s="75" t="s">
        <v>104</v>
      </c>
      <c r="AB30" s="44">
        <v>0</v>
      </c>
    </row>
    <row r="31" spans="1:28" ht="15">
      <c r="A31" s="15">
        <f t="shared" si="8"/>
        <v>18</v>
      </c>
      <c r="B31" s="15" t="s">
        <v>205</v>
      </c>
      <c r="C31" s="16">
        <v>2022</v>
      </c>
      <c r="D31" s="75" t="s">
        <v>54</v>
      </c>
      <c r="E31" s="16" t="s">
        <v>206</v>
      </c>
      <c r="F31" s="17">
        <v>14</v>
      </c>
      <c r="G31" s="75" t="s">
        <v>103</v>
      </c>
      <c r="H31" s="75" t="s">
        <v>104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19277</v>
      </c>
      <c r="K31" s="37">
        <v>19277</v>
      </c>
      <c r="L31" s="35">
        <v>0.94</v>
      </c>
      <c r="M31" s="78">
        <f t="shared" si="9"/>
        <v>20507.446808510638</v>
      </c>
      <c r="N31" s="79">
        <f t="shared" si="10"/>
        <v>0.94000000000000006</v>
      </c>
      <c r="O31" s="80">
        <f t="shared" si="0"/>
        <v>0</v>
      </c>
      <c r="P31" s="19">
        <v>1180</v>
      </c>
      <c r="Q31" s="19">
        <v>1693</v>
      </c>
      <c r="R31" s="81">
        <f t="shared" si="1"/>
        <v>2873</v>
      </c>
      <c r="S31" s="82">
        <f t="shared" si="11"/>
        <v>4.0822867247136472</v>
      </c>
      <c r="T31" s="83" t="s">
        <v>168</v>
      </c>
      <c r="U31" s="83" t="s">
        <v>154</v>
      </c>
      <c r="V31" s="83" t="s">
        <v>155</v>
      </c>
      <c r="W31" s="113">
        <f t="shared" si="2"/>
        <v>30</v>
      </c>
      <c r="AA31" s="75" t="s">
        <v>104</v>
      </c>
      <c r="AB31" s="44">
        <v>0</v>
      </c>
    </row>
    <row r="32" spans="1:28" ht="15">
      <c r="A32" s="15">
        <f t="shared" si="8"/>
        <v>19</v>
      </c>
      <c r="B32" s="15" t="s">
        <v>207</v>
      </c>
      <c r="C32" s="16">
        <v>2021</v>
      </c>
      <c r="D32" s="75" t="s">
        <v>29</v>
      </c>
      <c r="E32" s="16" t="s">
        <v>208</v>
      </c>
      <c r="F32" s="17">
        <v>10</v>
      </c>
      <c r="G32" s="75" t="s">
        <v>103</v>
      </c>
      <c r="H32" s="75" t="s">
        <v>104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37487</v>
      </c>
      <c r="K32" s="37">
        <v>37487</v>
      </c>
      <c r="L32" s="35">
        <v>0.98</v>
      </c>
      <c r="M32" s="78">
        <f t="shared" si="9"/>
        <v>38252.040816326531</v>
      </c>
      <c r="N32" s="79">
        <f t="shared" si="10"/>
        <v>0.98</v>
      </c>
      <c r="O32" s="80">
        <f t="shared" si="0"/>
        <v>0</v>
      </c>
      <c r="P32" s="19">
        <v>2461</v>
      </c>
      <c r="Q32" s="19">
        <v>1284</v>
      </c>
      <c r="R32" s="81">
        <f t="shared" si="1"/>
        <v>3745</v>
      </c>
      <c r="S32" s="82">
        <f t="shared" si="11"/>
        <v>3.8491406383829156</v>
      </c>
      <c r="T32" s="83" t="s">
        <v>160</v>
      </c>
      <c r="U32" s="83" t="s">
        <v>153</v>
      </c>
      <c r="V32" s="83" t="s">
        <v>156</v>
      </c>
      <c r="W32" s="113">
        <f t="shared" si="2"/>
        <v>30</v>
      </c>
      <c r="AA32" s="75" t="s">
        <v>108</v>
      </c>
      <c r="AB32" s="44">
        <v>-500</v>
      </c>
    </row>
    <row r="33" spans="1:28" ht="15">
      <c r="A33" s="15">
        <f t="shared" si="8"/>
        <v>20</v>
      </c>
      <c r="B33" s="15" t="s">
        <v>209</v>
      </c>
      <c r="C33" s="16">
        <v>2021</v>
      </c>
      <c r="D33" s="75" t="s">
        <v>17</v>
      </c>
      <c r="E33" s="16" t="s">
        <v>210</v>
      </c>
      <c r="F33" s="17">
        <v>75</v>
      </c>
      <c r="G33" s="75" t="s">
        <v>120</v>
      </c>
      <c r="H33" s="75" t="s">
        <v>104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58787</v>
      </c>
      <c r="K33" s="37">
        <v>59787</v>
      </c>
      <c r="L33" s="35">
        <v>0.9</v>
      </c>
      <c r="M33" s="78">
        <f t="shared" si="9"/>
        <v>65318.888888888891</v>
      </c>
      <c r="N33" s="79">
        <f t="shared" si="10"/>
        <v>0.91530950720397364</v>
      </c>
      <c r="O33" s="80">
        <f t="shared" si="0"/>
        <v>-1000</v>
      </c>
      <c r="P33" s="19">
        <v>-4534</v>
      </c>
      <c r="Q33" s="19">
        <v>3344</v>
      </c>
      <c r="R33" s="81">
        <f t="shared" si="1"/>
        <v>-1190</v>
      </c>
      <c r="S33" s="82">
        <f t="shared" si="11"/>
        <v>-8.8804589480884946E-2</v>
      </c>
      <c r="T33" s="83" t="s">
        <v>160</v>
      </c>
      <c r="U33" s="83" t="s">
        <v>196</v>
      </c>
      <c r="V33" s="83" t="s">
        <v>156</v>
      </c>
      <c r="W33" s="113">
        <f t="shared" si="2"/>
        <v>90</v>
      </c>
      <c r="AA33" s="75" t="s">
        <v>104</v>
      </c>
      <c r="AB33" s="44">
        <v>0</v>
      </c>
    </row>
    <row r="34" spans="1:28" ht="15">
      <c r="A34" s="15">
        <f t="shared" si="8"/>
        <v>21</v>
      </c>
      <c r="B34" s="15" t="s">
        <v>211</v>
      </c>
      <c r="C34" s="16">
        <v>2022</v>
      </c>
      <c r="D34" s="75" t="s">
        <v>18</v>
      </c>
      <c r="E34" s="16" t="s">
        <v>193</v>
      </c>
      <c r="F34" s="17">
        <v>13</v>
      </c>
      <c r="G34" s="75" t="s">
        <v>110</v>
      </c>
      <c r="H34" s="75" t="s">
        <v>104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42987</v>
      </c>
      <c r="K34" s="37">
        <v>43987</v>
      </c>
      <c r="L34" s="35">
        <v>1.06</v>
      </c>
      <c r="M34" s="78">
        <f t="shared" si="9"/>
        <v>40553.773584905655</v>
      </c>
      <c r="N34" s="79">
        <f t="shared" si="10"/>
        <v>1.0846586177216369</v>
      </c>
      <c r="O34" s="80">
        <f t="shared" si="0"/>
        <v>-1000</v>
      </c>
      <c r="P34" s="19">
        <v>-3002</v>
      </c>
      <c r="Q34" s="19">
        <v>4418</v>
      </c>
      <c r="R34" s="81">
        <f t="shared" si="1"/>
        <v>1416</v>
      </c>
      <c r="S34" s="82">
        <f t="shared" si="11"/>
        <v>0.83449972743211587</v>
      </c>
      <c r="T34" s="83" t="s">
        <v>160</v>
      </c>
      <c r="U34" s="83" t="s">
        <v>153</v>
      </c>
      <c r="V34" s="83" t="s">
        <v>157</v>
      </c>
      <c r="W34" s="113">
        <f t="shared" si="2"/>
        <v>30</v>
      </c>
      <c r="AA34" s="75" t="s">
        <v>104</v>
      </c>
      <c r="AB34" s="44">
        <v>0</v>
      </c>
    </row>
    <row r="35" spans="1:28" ht="15">
      <c r="A35" s="15">
        <f t="shared" si="8"/>
        <v>22</v>
      </c>
      <c r="B35" s="15" t="s">
        <v>212</v>
      </c>
      <c r="C35" s="16">
        <v>2015</v>
      </c>
      <c r="D35" s="75" t="s">
        <v>13</v>
      </c>
      <c r="E35" s="16" t="s">
        <v>213</v>
      </c>
      <c r="F35" s="17">
        <v>30</v>
      </c>
      <c r="G35" s="75" t="s">
        <v>103</v>
      </c>
      <c r="H35" s="75" t="s">
        <v>104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15987</v>
      </c>
      <c r="K35" s="37">
        <v>14365</v>
      </c>
      <c r="L35" s="35">
        <v>0.96</v>
      </c>
      <c r="M35" s="78">
        <f t="shared" si="9"/>
        <v>16653.125</v>
      </c>
      <c r="N35" s="79">
        <f t="shared" si="10"/>
        <v>0.8626008632013511</v>
      </c>
      <c r="O35" s="80">
        <f t="shared" si="0"/>
        <v>1622</v>
      </c>
      <c r="P35" s="19">
        <v>489</v>
      </c>
      <c r="Q35" s="19">
        <v>1919</v>
      </c>
      <c r="R35" s="81">
        <f t="shared" si="1"/>
        <v>2408</v>
      </c>
      <c r="S35" s="82">
        <f t="shared" si="11"/>
        <v>2.0824445085038916</v>
      </c>
      <c r="T35" s="83" t="s">
        <v>168</v>
      </c>
      <c r="U35" s="83" t="s">
        <v>153</v>
      </c>
      <c r="V35" s="83" t="s">
        <v>155</v>
      </c>
      <c r="W35" s="113">
        <f t="shared" si="2"/>
        <v>30</v>
      </c>
      <c r="AA35" s="75" t="s">
        <v>104</v>
      </c>
      <c r="AB35" s="44">
        <v>0</v>
      </c>
    </row>
    <row r="36" spans="1:28" ht="15">
      <c r="A36" s="15">
        <f t="shared" si="8"/>
        <v>23</v>
      </c>
      <c r="B36" s="15" t="s">
        <v>214</v>
      </c>
      <c r="C36" s="16">
        <v>2021</v>
      </c>
      <c r="D36" s="75" t="s">
        <v>17</v>
      </c>
      <c r="E36" s="16" t="s">
        <v>102</v>
      </c>
      <c r="F36" s="17">
        <v>14</v>
      </c>
      <c r="G36" s="75" t="s">
        <v>110</v>
      </c>
      <c r="H36" s="75" t="s">
        <v>108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28487</v>
      </c>
      <c r="K36" s="37">
        <v>28751</v>
      </c>
      <c r="L36" s="35">
        <v>1.02</v>
      </c>
      <c r="M36" s="78">
        <f t="shared" si="9"/>
        <v>27928.431372549017</v>
      </c>
      <c r="N36" s="79">
        <f t="shared" si="10"/>
        <v>1.0294527328254994</v>
      </c>
      <c r="O36" s="80">
        <f t="shared" si="0"/>
        <v>-264</v>
      </c>
      <c r="P36" s="19">
        <v>1700</v>
      </c>
      <c r="Q36" s="19">
        <v>2260</v>
      </c>
      <c r="R36" s="81">
        <f t="shared" si="1"/>
        <v>3960</v>
      </c>
      <c r="S36" s="82">
        <f t="shared" si="11"/>
        <v>3.7643181926202889</v>
      </c>
      <c r="T36" s="83" t="s">
        <v>159</v>
      </c>
      <c r="U36" s="83" t="s">
        <v>153</v>
      </c>
      <c r="V36" s="83" t="s">
        <v>157</v>
      </c>
      <c r="W36" s="113">
        <f t="shared" si="2"/>
        <v>30</v>
      </c>
      <c r="AA36" s="75" t="s">
        <v>104</v>
      </c>
      <c r="AB36" s="44">
        <v>0</v>
      </c>
    </row>
    <row r="37" spans="1:28" ht="15">
      <c r="A37" s="15">
        <f t="shared" si="8"/>
        <v>24</v>
      </c>
      <c r="B37" s="15" t="s">
        <v>215</v>
      </c>
      <c r="C37" s="16">
        <v>2020</v>
      </c>
      <c r="D37" s="75" t="s">
        <v>23</v>
      </c>
      <c r="E37" s="16" t="s">
        <v>216</v>
      </c>
      <c r="F37" s="17">
        <v>11</v>
      </c>
      <c r="G37" s="75" t="s">
        <v>103</v>
      </c>
      <c r="H37" s="75" t="s">
        <v>104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23987</v>
      </c>
      <c r="K37" s="37">
        <v>23973</v>
      </c>
      <c r="L37" s="35">
        <v>1.01</v>
      </c>
      <c r="M37" s="78">
        <f t="shared" si="9"/>
        <v>23749.504950495048</v>
      </c>
      <c r="N37" s="79">
        <f t="shared" si="10"/>
        <v>1.0094105140284322</v>
      </c>
      <c r="O37" s="80">
        <f t="shared" si="0"/>
        <v>14</v>
      </c>
      <c r="P37" s="19">
        <v>1067</v>
      </c>
      <c r="Q37" s="19">
        <v>751</v>
      </c>
      <c r="R37" s="81">
        <f t="shared" si="1"/>
        <v>1818</v>
      </c>
      <c r="S37" s="82">
        <f t="shared" si="11"/>
        <v>2.5974933125897937</v>
      </c>
      <c r="T37" s="83" t="s">
        <v>162</v>
      </c>
      <c r="U37" s="83" t="s">
        <v>153</v>
      </c>
      <c r="V37" s="83" t="s">
        <v>155</v>
      </c>
      <c r="W37" s="113">
        <f t="shared" si="2"/>
        <v>30</v>
      </c>
      <c r="AA37" s="75" t="s">
        <v>108</v>
      </c>
      <c r="AB37" s="44">
        <v>-300</v>
      </c>
    </row>
    <row r="38" spans="1:28" ht="15">
      <c r="A38" s="15">
        <f t="shared" si="8"/>
        <v>25</v>
      </c>
      <c r="B38" s="15" t="s">
        <v>217</v>
      </c>
      <c r="C38" s="16">
        <v>2010</v>
      </c>
      <c r="D38" s="75" t="s">
        <v>29</v>
      </c>
      <c r="E38" s="16" t="s">
        <v>218</v>
      </c>
      <c r="F38" s="17">
        <v>30</v>
      </c>
      <c r="G38" s="75" t="s">
        <v>103</v>
      </c>
      <c r="H38" s="75" t="s">
        <v>104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6998</v>
      </c>
      <c r="K38" s="37">
        <v>6998</v>
      </c>
      <c r="L38" s="35">
        <v>0.84</v>
      </c>
      <c r="M38" s="78">
        <f t="shared" si="9"/>
        <v>8330.9523809523816</v>
      </c>
      <c r="N38" s="79">
        <f t="shared" si="10"/>
        <v>0.84</v>
      </c>
      <c r="O38" s="80">
        <f t="shared" si="0"/>
        <v>0</v>
      </c>
      <c r="P38" s="19">
        <v>2992</v>
      </c>
      <c r="Q38" s="19">
        <v>744</v>
      </c>
      <c r="R38" s="81">
        <f t="shared" si="1"/>
        <v>3736</v>
      </c>
      <c r="S38" s="82">
        <f t="shared" si="11"/>
        <v>11.191213180229656</v>
      </c>
      <c r="T38" s="83" t="s">
        <v>160</v>
      </c>
      <c r="U38" s="83" t="s">
        <v>153</v>
      </c>
      <c r="V38" s="83" t="s">
        <v>157</v>
      </c>
      <c r="W38" s="113">
        <f t="shared" si="2"/>
        <v>30</v>
      </c>
      <c r="AA38" s="75" t="s">
        <v>104</v>
      </c>
      <c r="AB38" s="44">
        <v>0</v>
      </c>
    </row>
    <row r="39" spans="1:28" ht="15">
      <c r="A39" s="15">
        <f t="shared" si="8"/>
        <v>26</v>
      </c>
      <c r="B39" s="15" t="s">
        <v>219</v>
      </c>
      <c r="C39" s="16">
        <v>2017</v>
      </c>
      <c r="D39" s="75" t="s">
        <v>27</v>
      </c>
      <c r="E39" s="16" t="s">
        <v>220</v>
      </c>
      <c r="F39" s="17">
        <v>52</v>
      </c>
      <c r="G39" s="75" t="s">
        <v>110</v>
      </c>
      <c r="H39" s="75" t="s">
        <v>104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18987</v>
      </c>
      <c r="K39" s="37">
        <v>18987</v>
      </c>
      <c r="L39" s="35">
        <v>0.93</v>
      </c>
      <c r="M39" s="78">
        <f t="shared" si="9"/>
        <v>20416.129032258064</v>
      </c>
      <c r="N39" s="79">
        <f t="shared" si="10"/>
        <v>0.93</v>
      </c>
      <c r="O39" s="80">
        <f t="shared" si="0"/>
        <v>0</v>
      </c>
      <c r="P39" s="19">
        <v>1293</v>
      </c>
      <c r="Q39" s="19">
        <v>817</v>
      </c>
      <c r="R39" s="81">
        <f t="shared" si="1"/>
        <v>2110</v>
      </c>
      <c r="S39" s="82">
        <f t="shared" si="11"/>
        <v>0.82557320604116124</v>
      </c>
      <c r="T39" s="83" t="s">
        <v>161</v>
      </c>
      <c r="U39" s="83" t="s">
        <v>153</v>
      </c>
      <c r="V39" s="83" t="s">
        <v>157</v>
      </c>
      <c r="W39" s="113">
        <f t="shared" si="2"/>
        <v>60</v>
      </c>
      <c r="AA39" s="75" t="s">
        <v>104</v>
      </c>
      <c r="AB39" s="44">
        <v>0</v>
      </c>
    </row>
    <row r="40" spans="1:28" ht="15">
      <c r="A40" s="15">
        <f t="shared" si="8"/>
        <v>27</v>
      </c>
      <c r="B40" s="15" t="s">
        <v>221</v>
      </c>
      <c r="C40" s="16">
        <v>2022</v>
      </c>
      <c r="D40" s="75" t="s">
        <v>23</v>
      </c>
      <c r="E40" s="16" t="s">
        <v>216</v>
      </c>
      <c r="F40" s="17">
        <v>48</v>
      </c>
      <c r="G40" s="75" t="s">
        <v>103</v>
      </c>
      <c r="H40" s="75" t="s">
        <v>104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>
        <v>25987</v>
      </c>
      <c r="K40" s="37">
        <v>26987</v>
      </c>
      <c r="L40" s="35">
        <v>0.89</v>
      </c>
      <c r="M40" s="78">
        <f t="shared" si="9"/>
        <v>29198.876404494382</v>
      </c>
      <c r="N40" s="79">
        <f t="shared" si="10"/>
        <v>0.92424789317735789</v>
      </c>
      <c r="O40" s="80">
        <f t="shared" si="0"/>
        <v>-1000</v>
      </c>
      <c r="P40" s="19">
        <v>-1938</v>
      </c>
      <c r="Q40" s="19">
        <v>1778</v>
      </c>
      <c r="R40" s="81">
        <f t="shared" si="1"/>
        <v>-160</v>
      </c>
      <c r="S40" s="82">
        <f t="shared" si="11"/>
        <v>-4.1486603284356091E-2</v>
      </c>
      <c r="T40" s="83" t="s">
        <v>164</v>
      </c>
      <c r="U40" s="83" t="s">
        <v>153</v>
      </c>
      <c r="V40" s="83" t="s">
        <v>157</v>
      </c>
      <c r="W40" s="113">
        <f t="shared" si="2"/>
        <v>60</v>
      </c>
      <c r="AA40" s="75" t="s">
        <v>108</v>
      </c>
      <c r="AB40" s="44">
        <v>0</v>
      </c>
    </row>
    <row r="41" spans="1:28" ht="15">
      <c r="A41" s="15">
        <f t="shared" si="8"/>
        <v>28</v>
      </c>
      <c r="B41" s="15" t="s">
        <v>222</v>
      </c>
      <c r="C41" s="16">
        <v>2023</v>
      </c>
      <c r="D41" s="75" t="s">
        <v>54</v>
      </c>
      <c r="E41" s="16" t="s">
        <v>223</v>
      </c>
      <c r="F41" s="17">
        <v>66</v>
      </c>
      <c r="G41" s="75" t="s">
        <v>110</v>
      </c>
      <c r="H41" s="75" t="s">
        <v>104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7">
        <v>34987</v>
      </c>
      <c r="K41" s="37">
        <v>34707</v>
      </c>
      <c r="L41" s="35">
        <v>0.96</v>
      </c>
      <c r="M41" s="78">
        <f t="shared" si="9"/>
        <v>36444.791666666672</v>
      </c>
      <c r="N41" s="79">
        <f t="shared" si="10"/>
        <v>0.95231714636865106</v>
      </c>
      <c r="O41" s="80">
        <f t="shared" si="0"/>
        <v>280</v>
      </c>
      <c r="P41" s="19">
        <v>-3240</v>
      </c>
      <c r="Q41" s="19">
        <v>0</v>
      </c>
      <c r="R41" s="81">
        <f t="shared" si="1"/>
        <v>-3240</v>
      </c>
      <c r="S41" s="82">
        <f t="shared" si="11"/>
        <v>-0.46572132903068153</v>
      </c>
      <c r="T41" s="83" t="s">
        <v>168</v>
      </c>
      <c r="U41" s="83" t="s">
        <v>154</v>
      </c>
      <c r="V41" s="83" t="s">
        <v>157</v>
      </c>
      <c r="W41" s="113">
        <f t="shared" si="2"/>
        <v>90</v>
      </c>
      <c r="AA41" s="75" t="s">
        <v>104</v>
      </c>
      <c r="AB41" s="44">
        <v>0</v>
      </c>
    </row>
    <row r="42" spans="1:28" ht="15">
      <c r="A42" s="15">
        <f t="shared" si="8"/>
        <v>29</v>
      </c>
      <c r="B42" s="15" t="s">
        <v>224</v>
      </c>
      <c r="C42" s="16">
        <v>2020</v>
      </c>
      <c r="D42" s="75" t="s">
        <v>23</v>
      </c>
      <c r="E42" s="16" t="s">
        <v>225</v>
      </c>
      <c r="F42" s="17">
        <v>8</v>
      </c>
      <c r="G42" s="75" t="s">
        <v>103</v>
      </c>
      <c r="H42" s="75" t="s">
        <v>104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29779</v>
      </c>
      <c r="K42" s="37">
        <v>32000</v>
      </c>
      <c r="L42" s="35">
        <v>1.03</v>
      </c>
      <c r="M42" s="78">
        <f t="shared" si="9"/>
        <v>28911.650485436894</v>
      </c>
      <c r="N42" s="79">
        <f t="shared" si="10"/>
        <v>1.1068202424527351</v>
      </c>
      <c r="O42" s="80">
        <f t="shared" si="0"/>
        <v>-2221</v>
      </c>
      <c r="P42" s="19">
        <v>5299</v>
      </c>
      <c r="Q42" s="19">
        <v>3235</v>
      </c>
      <c r="R42" s="81">
        <f t="shared" si="1"/>
        <v>8534</v>
      </c>
      <c r="S42" s="82">
        <f t="shared" si="11"/>
        <v>14.382607392981535</v>
      </c>
      <c r="T42" s="83" t="s">
        <v>161</v>
      </c>
      <c r="U42" s="83" t="s">
        <v>153</v>
      </c>
      <c r="V42" s="83" t="s">
        <v>157</v>
      </c>
      <c r="W42" s="113">
        <f t="shared" si="2"/>
        <v>30</v>
      </c>
      <c r="AA42" s="75" t="s">
        <v>108</v>
      </c>
      <c r="AB42" s="44">
        <v>0</v>
      </c>
    </row>
    <row r="43" spans="1:28" ht="15">
      <c r="A43" s="15">
        <f t="shared" si="8"/>
        <v>30</v>
      </c>
      <c r="B43" s="15" t="s">
        <v>226</v>
      </c>
      <c r="C43" s="16">
        <v>2021</v>
      </c>
      <c r="D43" s="75" t="s">
        <v>24</v>
      </c>
      <c r="E43" s="16" t="s">
        <v>227</v>
      </c>
      <c r="F43" s="17">
        <v>73</v>
      </c>
      <c r="G43" s="75" t="s">
        <v>110</v>
      </c>
      <c r="H43" s="75" t="s">
        <v>104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25987</v>
      </c>
      <c r="K43" s="37">
        <v>24105</v>
      </c>
      <c r="L43" s="35">
        <v>1</v>
      </c>
      <c r="M43" s="78">
        <f t="shared" si="9"/>
        <v>25987</v>
      </c>
      <c r="N43" s="79">
        <f t="shared" si="10"/>
        <v>0.92757917420248581</v>
      </c>
      <c r="O43" s="80">
        <f t="shared" si="0"/>
        <v>1882</v>
      </c>
      <c r="P43" s="19">
        <v>-3996</v>
      </c>
      <c r="Q43" s="19">
        <v>0</v>
      </c>
      <c r="R43" s="81">
        <f t="shared" si="1"/>
        <v>-3996</v>
      </c>
      <c r="S43" s="82">
        <f t="shared" si="11"/>
        <v>-0.70126690757848531</v>
      </c>
      <c r="T43" s="83" t="s">
        <v>159</v>
      </c>
      <c r="U43" s="83" t="s">
        <v>153</v>
      </c>
      <c r="V43" s="83" t="s">
        <v>155</v>
      </c>
      <c r="W43" s="113">
        <f t="shared" si="2"/>
        <v>90</v>
      </c>
      <c r="AA43" s="75" t="s">
        <v>108</v>
      </c>
      <c r="AB43" s="44">
        <v>-2500</v>
      </c>
    </row>
    <row r="44" spans="1:28" ht="15">
      <c r="A44" s="15">
        <f t="shared" si="8"/>
        <v>31</v>
      </c>
      <c r="B44" s="15" t="s">
        <v>228</v>
      </c>
      <c r="C44" s="16">
        <v>2022</v>
      </c>
      <c r="D44" s="75" t="s">
        <v>23</v>
      </c>
      <c r="E44" s="16" t="s">
        <v>216</v>
      </c>
      <c r="F44" s="17">
        <v>53</v>
      </c>
      <c r="G44" s="75" t="s">
        <v>103</v>
      </c>
      <c r="H44" s="75" t="s">
        <v>108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23689</v>
      </c>
      <c r="K44" s="37">
        <v>23689</v>
      </c>
      <c r="L44" s="35">
        <v>0.88</v>
      </c>
      <c r="M44" s="78">
        <f t="shared" si="9"/>
        <v>26919.31818181818</v>
      </c>
      <c r="N44" s="79">
        <f t="shared" si="10"/>
        <v>0.88</v>
      </c>
      <c r="O44" s="80">
        <f t="shared" si="0"/>
        <v>0</v>
      </c>
      <c r="P44" s="19">
        <v>-2271</v>
      </c>
      <c r="Q44" s="19">
        <v>1610</v>
      </c>
      <c r="R44" s="81">
        <f t="shared" si="1"/>
        <v>-661</v>
      </c>
      <c r="S44" s="82">
        <f t="shared" si="11"/>
        <v>-0.17295112945896446</v>
      </c>
      <c r="T44" s="83" t="s">
        <v>162</v>
      </c>
      <c r="U44" s="83" t="s">
        <v>153</v>
      </c>
      <c r="V44" s="83" t="s">
        <v>156</v>
      </c>
      <c r="W44" s="113">
        <f t="shared" si="2"/>
        <v>60</v>
      </c>
      <c r="AA44" s="75" t="s">
        <v>108</v>
      </c>
      <c r="AB44" s="44">
        <v>2000</v>
      </c>
    </row>
    <row r="45" spans="1:28" ht="15">
      <c r="A45" s="15">
        <f t="shared" si="8"/>
        <v>32</v>
      </c>
      <c r="B45" s="15" t="s">
        <v>229</v>
      </c>
      <c r="C45" s="16">
        <v>2018</v>
      </c>
      <c r="D45" s="75" t="s">
        <v>17</v>
      </c>
      <c r="E45" s="16" t="s">
        <v>204</v>
      </c>
      <c r="F45" s="17">
        <v>63</v>
      </c>
      <c r="G45" s="75" t="s">
        <v>103</v>
      </c>
      <c r="H45" s="75" t="s">
        <v>104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24999</v>
      </c>
      <c r="K45" s="37">
        <v>25999</v>
      </c>
      <c r="L45" s="35">
        <v>0.85</v>
      </c>
      <c r="M45" s="78">
        <f t="shared" si="9"/>
        <v>29410.588235294119</v>
      </c>
      <c r="N45" s="79">
        <f t="shared" si="10"/>
        <v>0.88400136005440211</v>
      </c>
      <c r="O45" s="80">
        <f t="shared" si="0"/>
        <v>-1000</v>
      </c>
      <c r="P45" s="19">
        <v>-638</v>
      </c>
      <c r="Q45" s="19">
        <v>1338</v>
      </c>
      <c r="R45" s="81">
        <f t="shared" si="1"/>
        <v>700</v>
      </c>
      <c r="S45" s="82">
        <f t="shared" si="11"/>
        <v>0.15016706085520143</v>
      </c>
      <c r="T45" s="83" t="s">
        <v>158</v>
      </c>
      <c r="U45" s="83" t="s">
        <v>153</v>
      </c>
      <c r="V45" s="83" t="s">
        <v>157</v>
      </c>
      <c r="W45" s="113">
        <f t="shared" ref="W45:W76" si="12">IF(AND(F45&gt;0,F45&lt;=30),30,IF(AND(F45&gt;=31,F45&lt;=45),45,IF(AND(F45&gt;=46,F45&lt;=60),60,IF(AND(F45&gt;=61,F45&lt;=90),90,IF(F45&gt;=91,91,0)))))</f>
        <v>90</v>
      </c>
      <c r="AA45" s="75" t="s">
        <v>104</v>
      </c>
      <c r="AB45" s="44">
        <v>0</v>
      </c>
    </row>
    <row r="46" spans="1:28" ht="15">
      <c r="A46" s="15">
        <f t="shared" si="8"/>
        <v>33</v>
      </c>
      <c r="B46" s="15" t="s">
        <v>230</v>
      </c>
      <c r="C46" s="16">
        <v>2022</v>
      </c>
      <c r="D46" s="75" t="s">
        <v>17</v>
      </c>
      <c r="E46" s="16" t="s">
        <v>231</v>
      </c>
      <c r="F46" s="17">
        <v>13</v>
      </c>
      <c r="G46" s="75" t="s">
        <v>103</v>
      </c>
      <c r="H46" s="75" t="s">
        <v>108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7">
        <v>28987</v>
      </c>
      <c r="K46" s="37">
        <v>29114</v>
      </c>
      <c r="L46" s="35">
        <v>0.97</v>
      </c>
      <c r="M46" s="78">
        <f t="shared" si="9"/>
        <v>29883.505154639177</v>
      </c>
      <c r="N46" s="79">
        <f t="shared" si="10"/>
        <v>0.97424983613343907</v>
      </c>
      <c r="O46" s="80">
        <f t="shared" si="0"/>
        <v>-127</v>
      </c>
      <c r="P46" s="19">
        <v>961</v>
      </c>
      <c r="Q46" s="19">
        <v>2089</v>
      </c>
      <c r="R46" s="81">
        <f t="shared" si="1"/>
        <v>3050</v>
      </c>
      <c r="S46" s="82">
        <f t="shared" si="11"/>
        <v>3.0000901666443527</v>
      </c>
      <c r="T46" s="83" t="s">
        <v>169</v>
      </c>
      <c r="U46" s="83" t="s">
        <v>153</v>
      </c>
      <c r="V46" s="83" t="s">
        <v>157</v>
      </c>
      <c r="W46" s="113">
        <f t="shared" si="12"/>
        <v>30</v>
      </c>
      <c r="AA46" s="75" t="s">
        <v>104</v>
      </c>
      <c r="AB46" s="44">
        <v>0</v>
      </c>
    </row>
    <row r="47" spans="1:28" ht="15">
      <c r="A47" s="15">
        <f t="shared" si="8"/>
        <v>34</v>
      </c>
      <c r="B47" s="15" t="s">
        <v>232</v>
      </c>
      <c r="C47" s="16">
        <v>2016</v>
      </c>
      <c r="D47" s="75" t="s">
        <v>23</v>
      </c>
      <c r="E47" s="16" t="s">
        <v>191</v>
      </c>
      <c r="F47" s="17">
        <v>28</v>
      </c>
      <c r="G47" s="75" t="s">
        <v>103</v>
      </c>
      <c r="H47" s="75" t="s">
        <v>104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27900</v>
      </c>
      <c r="K47" s="37">
        <v>27900</v>
      </c>
      <c r="L47" s="35">
        <v>0.99</v>
      </c>
      <c r="M47" s="78">
        <f t="shared" si="9"/>
        <v>28181.818181818184</v>
      </c>
      <c r="N47" s="79">
        <f t="shared" si="10"/>
        <v>0.98999999999999988</v>
      </c>
      <c r="O47" s="80">
        <f t="shared" si="0"/>
        <v>0</v>
      </c>
      <c r="P47" s="19">
        <v>3626</v>
      </c>
      <c r="Q47" s="19">
        <v>2193</v>
      </c>
      <c r="R47" s="81">
        <f t="shared" si="1"/>
        <v>5819</v>
      </c>
      <c r="S47" s="82">
        <f t="shared" si="11"/>
        <v>3.0821337350957521</v>
      </c>
      <c r="T47" s="83" t="s">
        <v>162</v>
      </c>
      <c r="U47" s="83" t="s">
        <v>153</v>
      </c>
      <c r="V47" s="83" t="s">
        <v>155</v>
      </c>
      <c r="W47" s="113">
        <f t="shared" si="12"/>
        <v>30</v>
      </c>
      <c r="AA47" s="75" t="s">
        <v>108</v>
      </c>
      <c r="AB47" s="44">
        <v>0</v>
      </c>
    </row>
    <row r="48" spans="1:28" ht="15">
      <c r="A48" s="15">
        <f t="shared" si="8"/>
        <v>35</v>
      </c>
      <c r="B48" s="15" t="s">
        <v>233</v>
      </c>
      <c r="C48" s="16">
        <v>2022</v>
      </c>
      <c r="D48" s="75" t="s">
        <v>37</v>
      </c>
      <c r="E48" s="16" t="s">
        <v>234</v>
      </c>
      <c r="F48" s="17">
        <v>27</v>
      </c>
      <c r="G48" s="75" t="s">
        <v>120</v>
      </c>
      <c r="H48" s="75" t="s">
        <v>104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26997</v>
      </c>
      <c r="K48" s="37">
        <v>26997</v>
      </c>
      <c r="L48" s="35">
        <v>0.93</v>
      </c>
      <c r="M48" s="78">
        <f t="shared" si="9"/>
        <v>29029.032258064515</v>
      </c>
      <c r="N48" s="79">
        <f t="shared" si="10"/>
        <v>0.93</v>
      </c>
      <c r="O48" s="80">
        <f t="shared" si="0"/>
        <v>0</v>
      </c>
      <c r="P48" s="19">
        <v>-3165</v>
      </c>
      <c r="Q48" s="19">
        <v>1190</v>
      </c>
      <c r="R48" s="81">
        <f t="shared" si="1"/>
        <v>-1975</v>
      </c>
      <c r="S48" s="82">
        <f t="shared" si="11"/>
        <v>-0.87306323630174842</v>
      </c>
      <c r="T48" s="83" t="s">
        <v>171</v>
      </c>
      <c r="U48" s="83" t="s">
        <v>196</v>
      </c>
      <c r="V48" s="83" t="s">
        <v>157</v>
      </c>
      <c r="W48" s="113">
        <f t="shared" si="12"/>
        <v>30</v>
      </c>
      <c r="AA48" s="75" t="s">
        <v>104</v>
      </c>
      <c r="AB48" s="44">
        <v>0</v>
      </c>
    </row>
    <row r="49" spans="1:28" ht="15">
      <c r="A49" s="15">
        <f t="shared" si="8"/>
        <v>36</v>
      </c>
      <c r="B49" s="15" t="s">
        <v>235</v>
      </c>
      <c r="C49" s="16">
        <v>2020</v>
      </c>
      <c r="D49" s="75" t="s">
        <v>17</v>
      </c>
      <c r="E49" s="16" t="s">
        <v>204</v>
      </c>
      <c r="F49" s="17">
        <v>44</v>
      </c>
      <c r="G49" s="75" t="s">
        <v>103</v>
      </c>
      <c r="H49" s="75" t="s">
        <v>104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>
        <v>36557</v>
      </c>
      <c r="K49" s="37">
        <v>37557</v>
      </c>
      <c r="L49" s="35">
        <v>1</v>
      </c>
      <c r="M49" s="78">
        <f t="shared" si="9"/>
        <v>36557</v>
      </c>
      <c r="N49" s="79">
        <f t="shared" si="10"/>
        <v>1.0273545422217358</v>
      </c>
      <c r="O49" s="80">
        <f t="shared" si="0"/>
        <v>-1000</v>
      </c>
      <c r="P49" s="19">
        <v>6271</v>
      </c>
      <c r="Q49" s="19">
        <v>1824</v>
      </c>
      <c r="R49" s="81">
        <f t="shared" si="1"/>
        <v>8095</v>
      </c>
      <c r="S49" s="82">
        <f t="shared" si="11"/>
        <v>2.1169794215245852</v>
      </c>
      <c r="T49" s="83" t="s">
        <v>164</v>
      </c>
      <c r="U49" s="83" t="s">
        <v>154</v>
      </c>
      <c r="V49" s="83" t="s">
        <v>155</v>
      </c>
      <c r="W49" s="113">
        <f t="shared" si="12"/>
        <v>45</v>
      </c>
      <c r="AA49" s="75" t="s">
        <v>104</v>
      </c>
      <c r="AB49" s="44">
        <v>0</v>
      </c>
    </row>
    <row r="50" spans="1:28" ht="15">
      <c r="A50" s="15">
        <f t="shared" si="8"/>
        <v>37</v>
      </c>
      <c r="B50" s="15" t="s">
        <v>236</v>
      </c>
      <c r="C50" s="16">
        <v>2017</v>
      </c>
      <c r="D50" s="75" t="s">
        <v>30</v>
      </c>
      <c r="E50" s="16" t="s">
        <v>176</v>
      </c>
      <c r="F50" s="17">
        <v>49</v>
      </c>
      <c r="G50" s="75" t="s">
        <v>103</v>
      </c>
      <c r="H50" s="75" t="s">
        <v>104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17987</v>
      </c>
      <c r="K50" s="37">
        <v>17987</v>
      </c>
      <c r="L50" s="35">
        <v>0.94</v>
      </c>
      <c r="M50" s="78">
        <f t="shared" si="9"/>
        <v>19135.106382978724</v>
      </c>
      <c r="N50" s="79">
        <f t="shared" si="10"/>
        <v>0.94</v>
      </c>
      <c r="O50" s="80">
        <f t="shared" si="0"/>
        <v>0</v>
      </c>
      <c r="P50" s="19">
        <v>-818</v>
      </c>
      <c r="Q50" s="19">
        <v>1770</v>
      </c>
      <c r="R50" s="81">
        <f t="shared" si="1"/>
        <v>952</v>
      </c>
      <c r="S50" s="82">
        <f t="shared" si="11"/>
        <v>0.37193755460173966</v>
      </c>
      <c r="T50" s="83" t="s">
        <v>159</v>
      </c>
      <c r="U50" s="83" t="s">
        <v>153</v>
      </c>
      <c r="V50" s="83" t="s">
        <v>156</v>
      </c>
      <c r="W50" s="113">
        <f t="shared" si="12"/>
        <v>60</v>
      </c>
      <c r="AA50" s="75" t="s">
        <v>108</v>
      </c>
      <c r="AB50" s="44">
        <v>0</v>
      </c>
    </row>
    <row r="51" spans="1:28" ht="15">
      <c r="A51" s="15">
        <f t="shared" si="8"/>
        <v>38</v>
      </c>
      <c r="B51" s="15" t="s">
        <v>237</v>
      </c>
      <c r="C51" s="16">
        <v>2019</v>
      </c>
      <c r="D51" s="75" t="s">
        <v>17</v>
      </c>
      <c r="E51" s="16" t="s">
        <v>204</v>
      </c>
      <c r="F51" s="17">
        <v>41</v>
      </c>
      <c r="G51" s="75" t="s">
        <v>103</v>
      </c>
      <c r="H51" s="75" t="s">
        <v>104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7">
        <v>39987</v>
      </c>
      <c r="K51" s="37">
        <v>45629</v>
      </c>
      <c r="L51" s="35">
        <v>0.98</v>
      </c>
      <c r="M51" s="78">
        <f t="shared" si="9"/>
        <v>40803.0612244898</v>
      </c>
      <c r="N51" s="79">
        <f t="shared" si="10"/>
        <v>1.1182739390301848</v>
      </c>
      <c r="O51" s="80">
        <f t="shared" si="0"/>
        <v>-5642</v>
      </c>
      <c r="P51" s="19">
        <v>1321</v>
      </c>
      <c r="Q51" s="19">
        <v>2893</v>
      </c>
      <c r="R51" s="81">
        <f t="shared" si="1"/>
        <v>4214</v>
      </c>
      <c r="S51" s="82">
        <f t="shared" si="11"/>
        <v>0.83508566420863284</v>
      </c>
      <c r="T51" s="83" t="s">
        <v>160</v>
      </c>
      <c r="U51" s="83" t="s">
        <v>153</v>
      </c>
      <c r="V51" s="83" t="s">
        <v>155</v>
      </c>
      <c r="W51" s="113">
        <f t="shared" si="12"/>
        <v>45</v>
      </c>
      <c r="AA51" s="75" t="s">
        <v>108</v>
      </c>
      <c r="AB51" s="44">
        <v>-8500</v>
      </c>
    </row>
    <row r="52" spans="1:28" ht="15">
      <c r="A52" s="15">
        <f t="shared" si="8"/>
        <v>39</v>
      </c>
      <c r="B52" s="15" t="s">
        <v>238</v>
      </c>
      <c r="C52" s="16">
        <v>2021</v>
      </c>
      <c r="D52" s="75" t="s">
        <v>33</v>
      </c>
      <c r="E52" s="16" t="s">
        <v>239</v>
      </c>
      <c r="F52" s="17">
        <v>18</v>
      </c>
      <c r="G52" s="75" t="s">
        <v>120</v>
      </c>
      <c r="H52" s="75" t="s">
        <v>104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34220</v>
      </c>
      <c r="K52" s="37">
        <v>32000</v>
      </c>
      <c r="L52" s="35">
        <v>1.01</v>
      </c>
      <c r="M52" s="78">
        <f t="shared" si="9"/>
        <v>33881.188118811879</v>
      </c>
      <c r="N52" s="79">
        <f t="shared" si="10"/>
        <v>0.9444769140853303</v>
      </c>
      <c r="O52" s="80">
        <f t="shared" si="0"/>
        <v>2220</v>
      </c>
      <c r="P52" s="19">
        <v>673</v>
      </c>
      <c r="Q52" s="19">
        <v>3697</v>
      </c>
      <c r="R52" s="81">
        <f t="shared" si="1"/>
        <v>4370</v>
      </c>
      <c r="S52" s="82">
        <f t="shared" si="11"/>
        <v>2.7899256232642768</v>
      </c>
      <c r="T52" s="83" t="s">
        <v>169</v>
      </c>
      <c r="U52" s="83" t="s">
        <v>153</v>
      </c>
      <c r="V52" s="83" t="s">
        <v>157</v>
      </c>
      <c r="W52" s="113">
        <f t="shared" si="12"/>
        <v>30</v>
      </c>
      <c r="AA52" s="75" t="s">
        <v>104</v>
      </c>
      <c r="AB52" s="44">
        <v>0</v>
      </c>
    </row>
    <row r="53" spans="1:28" ht="15">
      <c r="A53" s="15">
        <f t="shared" si="8"/>
        <v>40</v>
      </c>
      <c r="B53" s="15" t="s">
        <v>240</v>
      </c>
      <c r="C53" s="16">
        <v>2022</v>
      </c>
      <c r="D53" s="75" t="s">
        <v>17</v>
      </c>
      <c r="E53" s="16" t="s">
        <v>204</v>
      </c>
      <c r="F53" s="17">
        <v>57</v>
      </c>
      <c r="G53" s="75" t="s">
        <v>103</v>
      </c>
      <c r="H53" s="75" t="s">
        <v>108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56779</v>
      </c>
      <c r="K53" s="37">
        <v>56779</v>
      </c>
      <c r="L53" s="35">
        <v>0.94</v>
      </c>
      <c r="M53" s="78">
        <f t="shared" si="9"/>
        <v>60403.191489361707</v>
      </c>
      <c r="N53" s="79">
        <f t="shared" si="10"/>
        <v>0.94</v>
      </c>
      <c r="O53" s="80">
        <f t="shared" si="0"/>
        <v>0</v>
      </c>
      <c r="P53" s="19">
        <v>2978</v>
      </c>
      <c r="Q53" s="19">
        <v>2328</v>
      </c>
      <c r="R53" s="81">
        <f t="shared" si="1"/>
        <v>5306</v>
      </c>
      <c r="S53" s="82">
        <f t="shared" si="11"/>
        <v>0.62288022429635925</v>
      </c>
      <c r="T53" s="83" t="s">
        <v>161</v>
      </c>
      <c r="U53" s="83" t="s">
        <v>196</v>
      </c>
      <c r="V53" s="83" t="s">
        <v>155</v>
      </c>
      <c r="W53" s="113">
        <f t="shared" si="12"/>
        <v>60</v>
      </c>
      <c r="AA53" s="75" t="s">
        <v>108</v>
      </c>
      <c r="AB53" s="44">
        <v>2000</v>
      </c>
    </row>
    <row r="54" spans="1:28" ht="15">
      <c r="A54" s="15">
        <f t="shared" si="8"/>
        <v>41</v>
      </c>
      <c r="B54" s="15" t="s">
        <v>241</v>
      </c>
      <c r="C54" s="16">
        <v>2017</v>
      </c>
      <c r="D54" s="75" t="s">
        <v>54</v>
      </c>
      <c r="E54" s="16" t="s">
        <v>242</v>
      </c>
      <c r="F54" s="17">
        <v>55</v>
      </c>
      <c r="G54" s="75" t="s">
        <v>110</v>
      </c>
      <c r="H54" s="75" t="s">
        <v>104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>
        <v>16987</v>
      </c>
      <c r="K54" s="37">
        <v>21987</v>
      </c>
      <c r="L54" s="35">
        <v>0.79</v>
      </c>
      <c r="M54" s="78">
        <f t="shared" si="9"/>
        <v>21502.531645569619</v>
      </c>
      <c r="N54" s="79">
        <f t="shared" si="10"/>
        <v>1.022530758815565</v>
      </c>
      <c r="O54" s="80">
        <f t="shared" si="0"/>
        <v>-5000</v>
      </c>
      <c r="P54" s="19">
        <v>-2618</v>
      </c>
      <c r="Q54" s="19">
        <v>1492</v>
      </c>
      <c r="R54" s="81">
        <f t="shared" si="1"/>
        <v>-1126</v>
      </c>
      <c r="S54" s="82">
        <f t="shared" si="11"/>
        <v>-0.29954000480316273</v>
      </c>
      <c r="T54" s="83" t="s">
        <v>243</v>
      </c>
      <c r="U54" s="83" t="s">
        <v>154</v>
      </c>
      <c r="V54" s="83" t="s">
        <v>156</v>
      </c>
      <c r="W54" s="113">
        <f t="shared" si="12"/>
        <v>60</v>
      </c>
      <c r="AA54" s="75" t="s">
        <v>108</v>
      </c>
      <c r="AB54" s="44">
        <v>-4999</v>
      </c>
    </row>
    <row r="55" spans="1:28" ht="15">
      <c r="A55" s="15">
        <f t="shared" si="8"/>
        <v>42</v>
      </c>
      <c r="B55" s="15" t="s">
        <v>244</v>
      </c>
      <c r="C55" s="16">
        <v>2014</v>
      </c>
      <c r="D55" s="75" t="s">
        <v>17</v>
      </c>
      <c r="E55" s="16" t="s">
        <v>204</v>
      </c>
      <c r="F55" s="17">
        <v>19</v>
      </c>
      <c r="G55" s="75" t="s">
        <v>103</v>
      </c>
      <c r="H55" s="75" t="s">
        <v>104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27987</v>
      </c>
      <c r="K55" s="37">
        <v>28000</v>
      </c>
      <c r="L55" s="35">
        <v>1.04</v>
      </c>
      <c r="M55" s="78">
        <f t="shared" si="9"/>
        <v>26910.576923076922</v>
      </c>
      <c r="N55" s="79">
        <f t="shared" si="10"/>
        <v>1.0404830814306643</v>
      </c>
      <c r="O55" s="80">
        <f t="shared" si="0"/>
        <v>-13</v>
      </c>
      <c r="P55" s="19">
        <v>5681</v>
      </c>
      <c r="Q55" s="19">
        <v>3984</v>
      </c>
      <c r="R55" s="81">
        <f t="shared" si="1"/>
        <v>9665</v>
      </c>
      <c r="S55" s="82">
        <f t="shared" si="11"/>
        <v>8.2049516461075171</v>
      </c>
      <c r="T55" s="83" t="s">
        <v>168</v>
      </c>
      <c r="U55" s="83" t="s">
        <v>196</v>
      </c>
      <c r="V55" s="83" t="s">
        <v>156</v>
      </c>
      <c r="W55" s="113">
        <f t="shared" si="12"/>
        <v>30</v>
      </c>
      <c r="AA55" s="75" t="s">
        <v>104</v>
      </c>
      <c r="AB55" s="44">
        <v>0</v>
      </c>
    </row>
    <row r="56" spans="1:28" ht="15">
      <c r="A56" s="15">
        <f t="shared" si="8"/>
        <v>43</v>
      </c>
      <c r="B56" s="15" t="s">
        <v>245</v>
      </c>
      <c r="C56" s="16">
        <v>2023</v>
      </c>
      <c r="D56" s="75" t="s">
        <v>26</v>
      </c>
      <c r="E56" s="16" t="s">
        <v>246</v>
      </c>
      <c r="F56" s="17">
        <v>63</v>
      </c>
      <c r="G56" s="75" t="s">
        <v>103</v>
      </c>
      <c r="H56" s="75" t="s">
        <v>104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18987</v>
      </c>
      <c r="K56" s="37">
        <v>17175</v>
      </c>
      <c r="L56" s="35">
        <v>0.86</v>
      </c>
      <c r="M56" s="78">
        <f t="shared" si="9"/>
        <v>22077.906976744187</v>
      </c>
      <c r="N56" s="79">
        <f t="shared" si="10"/>
        <v>0.77792700268604831</v>
      </c>
      <c r="O56" s="80">
        <f t="shared" si="0"/>
        <v>1812</v>
      </c>
      <c r="P56" s="19">
        <v>-5375</v>
      </c>
      <c r="Q56" s="19">
        <v>1835</v>
      </c>
      <c r="R56" s="81">
        <f t="shared" si="1"/>
        <v>-3540</v>
      </c>
      <c r="S56" s="82">
        <f t="shared" si="11"/>
        <v>-0.89705416534684823</v>
      </c>
      <c r="T56" s="83" t="s">
        <v>168</v>
      </c>
      <c r="U56" s="83" t="s">
        <v>153</v>
      </c>
      <c r="V56" s="83" t="s">
        <v>155</v>
      </c>
      <c r="W56" s="113">
        <f t="shared" si="12"/>
        <v>90</v>
      </c>
      <c r="AA56" s="75" t="s">
        <v>104</v>
      </c>
      <c r="AB56" s="44">
        <v>0</v>
      </c>
    </row>
    <row r="57" spans="1:28" ht="15">
      <c r="A57" s="15">
        <f t="shared" si="8"/>
        <v>44</v>
      </c>
      <c r="B57" s="15" t="s">
        <v>247</v>
      </c>
      <c r="C57" s="16">
        <v>2018</v>
      </c>
      <c r="D57" s="75" t="s">
        <v>23</v>
      </c>
      <c r="E57" s="16" t="s">
        <v>248</v>
      </c>
      <c r="F57" s="17">
        <v>6</v>
      </c>
      <c r="G57" s="75" t="s">
        <v>110</v>
      </c>
      <c r="H57" s="75" t="s">
        <v>104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16987</v>
      </c>
      <c r="K57" s="37">
        <v>16987</v>
      </c>
      <c r="L57" s="35">
        <v>0.98</v>
      </c>
      <c r="M57" s="78">
        <f t="shared" si="9"/>
        <v>17333.673469387755</v>
      </c>
      <c r="N57" s="79">
        <f t="shared" si="10"/>
        <v>0.98</v>
      </c>
      <c r="O57" s="80">
        <f t="shared" si="0"/>
        <v>0</v>
      </c>
      <c r="P57" s="19">
        <v>3526</v>
      </c>
      <c r="Q57" s="19">
        <v>202</v>
      </c>
      <c r="R57" s="81">
        <f t="shared" si="1"/>
        <v>3728</v>
      </c>
      <c r="S57" s="82">
        <f t="shared" si="11"/>
        <v>16.616893247158458</v>
      </c>
      <c r="T57" s="83" t="s">
        <v>162</v>
      </c>
      <c r="U57" s="83" t="s">
        <v>153</v>
      </c>
      <c r="V57" s="83" t="s">
        <v>157</v>
      </c>
      <c r="W57" s="113">
        <f t="shared" si="12"/>
        <v>30</v>
      </c>
      <c r="AA57" s="75" t="s">
        <v>104</v>
      </c>
      <c r="AB57" s="44">
        <v>0</v>
      </c>
    </row>
    <row r="58" spans="1:28" ht="15">
      <c r="A58" s="15">
        <f t="shared" si="8"/>
        <v>45</v>
      </c>
      <c r="B58" s="15" t="s">
        <v>249</v>
      </c>
      <c r="C58" s="16">
        <v>2020</v>
      </c>
      <c r="D58" s="75" t="s">
        <v>23</v>
      </c>
      <c r="E58" s="16" t="s">
        <v>250</v>
      </c>
      <c r="F58" s="17">
        <v>55</v>
      </c>
      <c r="G58" s="75" t="s">
        <v>112</v>
      </c>
      <c r="H58" s="75" t="s">
        <v>108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41987</v>
      </c>
      <c r="K58" s="37">
        <v>43987</v>
      </c>
      <c r="L58" s="35">
        <v>0.95</v>
      </c>
      <c r="M58" s="78">
        <f t="shared" si="9"/>
        <v>44196.84210526316</v>
      </c>
      <c r="N58" s="79">
        <f t="shared" si="10"/>
        <v>0.99525210184104596</v>
      </c>
      <c r="O58" s="80">
        <f t="shared" si="0"/>
        <v>-2000</v>
      </c>
      <c r="P58" s="19">
        <v>3650</v>
      </c>
      <c r="Q58" s="19">
        <v>4171</v>
      </c>
      <c r="R58" s="81">
        <f t="shared" si="1"/>
        <v>7821</v>
      </c>
      <c r="S58" s="82">
        <f t="shared" si="11"/>
        <v>1.2691077670624986</v>
      </c>
      <c r="T58" s="83" t="s">
        <v>162</v>
      </c>
      <c r="U58" s="83" t="s">
        <v>153</v>
      </c>
      <c r="V58" s="83" t="s">
        <v>155</v>
      </c>
      <c r="W58" s="113">
        <f t="shared" si="12"/>
        <v>60</v>
      </c>
      <c r="AA58" s="75" t="s">
        <v>108</v>
      </c>
      <c r="AB58" s="44">
        <v>2000</v>
      </c>
    </row>
    <row r="59" spans="1:28" ht="15">
      <c r="A59" s="15">
        <f t="shared" si="8"/>
        <v>46</v>
      </c>
      <c r="B59" s="15" t="s">
        <v>251</v>
      </c>
      <c r="C59" s="16">
        <v>2016</v>
      </c>
      <c r="D59" s="75" t="s">
        <v>39</v>
      </c>
      <c r="E59" s="16" t="s">
        <v>252</v>
      </c>
      <c r="F59" s="17">
        <v>58</v>
      </c>
      <c r="G59" s="75" t="s">
        <v>103</v>
      </c>
      <c r="H59" s="75" t="s">
        <v>104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21300</v>
      </c>
      <c r="K59" s="37">
        <v>20638</v>
      </c>
      <c r="L59" s="35">
        <v>0.84</v>
      </c>
      <c r="M59" s="78">
        <f t="shared" si="9"/>
        <v>25357.142857142859</v>
      </c>
      <c r="N59" s="79">
        <f t="shared" si="10"/>
        <v>0.81389295774647885</v>
      </c>
      <c r="O59" s="80">
        <f t="shared" si="0"/>
        <v>662</v>
      </c>
      <c r="P59" s="19">
        <v>-1712</v>
      </c>
      <c r="Q59" s="19">
        <v>521</v>
      </c>
      <c r="R59" s="81">
        <f t="shared" si="1"/>
        <v>-1191</v>
      </c>
      <c r="S59" s="82">
        <f t="shared" si="11"/>
        <v>-0.33075676926637354</v>
      </c>
      <c r="T59" s="83" t="s">
        <v>160</v>
      </c>
      <c r="U59" s="83" t="s">
        <v>153</v>
      </c>
      <c r="V59" s="83" t="s">
        <v>157</v>
      </c>
      <c r="W59" s="113">
        <f t="shared" si="12"/>
        <v>60</v>
      </c>
      <c r="AA59" s="75" t="s">
        <v>104</v>
      </c>
      <c r="AB59" s="44">
        <v>0</v>
      </c>
    </row>
    <row r="60" spans="1:28" ht="15">
      <c r="A60" s="15">
        <f t="shared" si="8"/>
        <v>47</v>
      </c>
      <c r="B60" s="15" t="s">
        <v>253</v>
      </c>
      <c r="C60" s="16">
        <v>2020</v>
      </c>
      <c r="D60" s="75" t="s">
        <v>34</v>
      </c>
      <c r="E60" s="16" t="s">
        <v>254</v>
      </c>
      <c r="F60" s="17">
        <v>67</v>
      </c>
      <c r="G60" s="75" t="s">
        <v>103</v>
      </c>
      <c r="H60" s="75" t="s">
        <v>104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45987</v>
      </c>
      <c r="K60" s="37">
        <v>45987</v>
      </c>
      <c r="L60" s="35">
        <v>0.89</v>
      </c>
      <c r="M60" s="78">
        <f t="shared" si="9"/>
        <v>51670.786516853928</v>
      </c>
      <c r="N60" s="79">
        <f t="shared" si="10"/>
        <v>0.89000000000000012</v>
      </c>
      <c r="O60" s="80">
        <f t="shared" si="0"/>
        <v>0</v>
      </c>
      <c r="P60" s="19">
        <v>-4547</v>
      </c>
      <c r="Q60" s="19">
        <v>1606</v>
      </c>
      <c r="R60" s="81">
        <f t="shared" si="1"/>
        <v>-2941</v>
      </c>
      <c r="S60" s="82">
        <f t="shared" si="11"/>
        <v>-0.31270803933394337</v>
      </c>
      <c r="T60" s="83" t="s">
        <v>164</v>
      </c>
      <c r="U60" s="83" t="s">
        <v>154</v>
      </c>
      <c r="V60" s="83" t="s">
        <v>157</v>
      </c>
      <c r="W60" s="113">
        <f t="shared" si="12"/>
        <v>90</v>
      </c>
      <c r="AA60" s="75" t="s">
        <v>108</v>
      </c>
      <c r="AB60" s="44">
        <v>2000</v>
      </c>
    </row>
    <row r="61" spans="1:28" ht="15">
      <c r="A61" s="15">
        <f t="shared" si="8"/>
        <v>48</v>
      </c>
      <c r="B61" s="15" t="s">
        <v>255</v>
      </c>
      <c r="C61" s="16">
        <v>2005</v>
      </c>
      <c r="D61" s="75" t="s">
        <v>19</v>
      </c>
      <c r="E61" s="16" t="s">
        <v>256</v>
      </c>
      <c r="F61" s="17">
        <v>8</v>
      </c>
      <c r="G61" s="75" t="s">
        <v>110</v>
      </c>
      <c r="H61" s="75" t="s">
        <v>104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7987</v>
      </c>
      <c r="K61" s="37">
        <v>7987</v>
      </c>
      <c r="L61" s="35">
        <v>1</v>
      </c>
      <c r="M61" s="78">
        <f t="shared" si="9"/>
        <v>7987</v>
      </c>
      <c r="N61" s="79">
        <f t="shared" si="10"/>
        <v>1</v>
      </c>
      <c r="O61" s="80">
        <f t="shared" si="0"/>
        <v>0</v>
      </c>
      <c r="P61" s="19">
        <v>3690</v>
      </c>
      <c r="Q61" s="19">
        <v>350</v>
      </c>
      <c r="R61" s="81">
        <f t="shared" si="1"/>
        <v>4040</v>
      </c>
      <c r="S61" s="82">
        <f t="shared" si="11"/>
        <v>42.308587386548759</v>
      </c>
      <c r="T61" s="83" t="s">
        <v>168</v>
      </c>
      <c r="U61" s="83" t="s">
        <v>196</v>
      </c>
      <c r="V61" s="83" t="s">
        <v>157</v>
      </c>
      <c r="W61" s="113">
        <f t="shared" si="12"/>
        <v>30</v>
      </c>
      <c r="AA61" s="75" t="s">
        <v>104</v>
      </c>
      <c r="AB61" s="44">
        <v>0</v>
      </c>
    </row>
    <row r="62" spans="1:28" ht="15">
      <c r="A62" s="15">
        <f t="shared" si="8"/>
        <v>49</v>
      </c>
      <c r="B62" s="15" t="s">
        <v>257</v>
      </c>
      <c r="C62" s="16">
        <v>2020</v>
      </c>
      <c r="D62" s="75" t="s">
        <v>17</v>
      </c>
      <c r="E62" s="16" t="s">
        <v>258</v>
      </c>
      <c r="F62" s="17">
        <v>12</v>
      </c>
      <c r="G62" s="75" t="s">
        <v>103</v>
      </c>
      <c r="H62" s="75" t="s">
        <v>104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>
        <v>24987</v>
      </c>
      <c r="K62" s="37">
        <v>24987</v>
      </c>
      <c r="L62" s="35">
        <v>1.01</v>
      </c>
      <c r="M62" s="78">
        <f t="shared" si="9"/>
        <v>24739.603960396038</v>
      </c>
      <c r="N62" s="79">
        <f t="shared" si="10"/>
        <v>1.01</v>
      </c>
      <c r="O62" s="80">
        <f t="shared" si="0"/>
        <v>0</v>
      </c>
      <c r="P62" s="19">
        <v>3064</v>
      </c>
      <c r="Q62" s="19">
        <v>4549</v>
      </c>
      <c r="R62" s="81">
        <f t="shared" si="1"/>
        <v>7613</v>
      </c>
      <c r="S62" s="82">
        <f t="shared" si="11"/>
        <v>10.417826027459746</v>
      </c>
      <c r="T62" s="83" t="s">
        <v>162</v>
      </c>
      <c r="U62" s="83" t="s">
        <v>153</v>
      </c>
      <c r="V62" s="83" t="s">
        <v>156</v>
      </c>
      <c r="W62" s="113">
        <f t="shared" si="12"/>
        <v>30</v>
      </c>
      <c r="AA62" s="75" t="s">
        <v>108</v>
      </c>
      <c r="AB62" s="44">
        <v>0</v>
      </c>
    </row>
    <row r="63" spans="1:28" ht="15">
      <c r="A63" s="15">
        <f t="shared" si="8"/>
        <v>50</v>
      </c>
      <c r="B63" s="15" t="s">
        <v>259</v>
      </c>
      <c r="C63" s="16">
        <v>2022</v>
      </c>
      <c r="D63" s="75" t="s">
        <v>23</v>
      </c>
      <c r="E63" s="16" t="s">
        <v>260</v>
      </c>
      <c r="F63" s="17">
        <v>57</v>
      </c>
      <c r="G63" s="75" t="s">
        <v>103</v>
      </c>
      <c r="H63" s="75" t="s">
        <v>104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71987</v>
      </c>
      <c r="K63" s="37">
        <v>70242</v>
      </c>
      <c r="L63" s="35">
        <v>0.98</v>
      </c>
      <c r="M63" s="78">
        <f t="shared" si="9"/>
        <v>73456.122448979586</v>
      </c>
      <c r="N63" s="79">
        <f t="shared" si="10"/>
        <v>0.9562443218914527</v>
      </c>
      <c r="O63" s="80">
        <f t="shared" si="0"/>
        <v>1745</v>
      </c>
      <c r="P63" s="19">
        <v>-73</v>
      </c>
      <c r="Q63" s="19">
        <v>7706</v>
      </c>
      <c r="R63" s="81">
        <f t="shared" si="1"/>
        <v>7633</v>
      </c>
      <c r="S63" s="82">
        <f t="shared" si="11"/>
        <v>0.68560650007297985</v>
      </c>
      <c r="T63" s="83" t="s">
        <v>168</v>
      </c>
      <c r="U63" s="83" t="s">
        <v>153</v>
      </c>
      <c r="V63" s="83" t="s">
        <v>157</v>
      </c>
      <c r="W63" s="113">
        <f t="shared" si="12"/>
        <v>60</v>
      </c>
      <c r="AA63" s="75" t="s">
        <v>108</v>
      </c>
      <c r="AB63" s="44">
        <v>-1000</v>
      </c>
    </row>
    <row r="64" spans="1:28" ht="15">
      <c r="A64" s="15">
        <f t="shared" si="8"/>
        <v>51</v>
      </c>
      <c r="B64" s="15" t="s">
        <v>261</v>
      </c>
      <c r="C64" s="16">
        <v>2020</v>
      </c>
      <c r="D64" s="75" t="s">
        <v>15</v>
      </c>
      <c r="E64" s="16" t="s">
        <v>262</v>
      </c>
      <c r="F64" s="17">
        <v>28</v>
      </c>
      <c r="G64" s="75" t="s">
        <v>103</v>
      </c>
      <c r="H64" s="75" t="s">
        <v>108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22987</v>
      </c>
      <c r="K64" s="37">
        <v>22987</v>
      </c>
      <c r="L64" s="35">
        <v>0.95</v>
      </c>
      <c r="M64" s="78">
        <f t="shared" si="9"/>
        <v>24196.84210526316</v>
      </c>
      <c r="N64" s="79">
        <f t="shared" si="10"/>
        <v>0.95</v>
      </c>
      <c r="O64" s="80">
        <f t="shared" si="0"/>
        <v>0</v>
      </c>
      <c r="P64" s="19">
        <v>-3338</v>
      </c>
      <c r="Q64" s="19">
        <v>860</v>
      </c>
      <c r="R64" s="81">
        <f t="shared" si="1"/>
        <v>-2478</v>
      </c>
      <c r="S64" s="82">
        <f t="shared" si="11"/>
        <v>-1.2102564102564104</v>
      </c>
      <c r="T64" s="83" t="s">
        <v>158</v>
      </c>
      <c r="U64" s="83" t="s">
        <v>153</v>
      </c>
      <c r="V64" s="83" t="s">
        <v>157</v>
      </c>
      <c r="W64" s="113">
        <f t="shared" si="12"/>
        <v>30</v>
      </c>
      <c r="AA64" s="75" t="s">
        <v>108</v>
      </c>
      <c r="AB64" s="44">
        <v>-71</v>
      </c>
    </row>
    <row r="65" spans="1:28" ht="15">
      <c r="A65" s="15">
        <f t="shared" si="8"/>
        <v>52</v>
      </c>
      <c r="B65" s="15" t="s">
        <v>263</v>
      </c>
      <c r="C65" s="16">
        <v>2015</v>
      </c>
      <c r="D65" s="75" t="s">
        <v>54</v>
      </c>
      <c r="E65" s="16" t="s">
        <v>198</v>
      </c>
      <c r="F65" s="17">
        <v>48</v>
      </c>
      <c r="G65" s="75" t="s">
        <v>103</v>
      </c>
      <c r="H65" s="75" t="s">
        <v>104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19551</v>
      </c>
      <c r="K65" s="37">
        <v>19551</v>
      </c>
      <c r="L65" s="35">
        <v>1.01</v>
      </c>
      <c r="M65" s="78">
        <f t="shared" si="9"/>
        <v>19357.425742574258</v>
      </c>
      <c r="N65" s="79">
        <f t="shared" si="10"/>
        <v>1.01</v>
      </c>
      <c r="O65" s="80">
        <f t="shared" si="0"/>
        <v>0</v>
      </c>
      <c r="P65" s="19">
        <v>3555</v>
      </c>
      <c r="Q65" s="19">
        <v>1399</v>
      </c>
      <c r="R65" s="81">
        <f t="shared" si="1"/>
        <v>4954</v>
      </c>
      <c r="S65" s="82">
        <f t="shared" si="11"/>
        <v>2.3227681920480121</v>
      </c>
      <c r="T65" s="83" t="s">
        <v>160</v>
      </c>
      <c r="U65" s="83" t="s">
        <v>196</v>
      </c>
      <c r="V65" s="83" t="s">
        <v>156</v>
      </c>
      <c r="W65" s="113">
        <f t="shared" si="12"/>
        <v>60</v>
      </c>
      <c r="AA65" s="75" t="s">
        <v>108</v>
      </c>
      <c r="AB65" s="44">
        <v>-500</v>
      </c>
    </row>
    <row r="66" spans="1:28" ht="15">
      <c r="A66" s="15">
        <f t="shared" si="8"/>
        <v>53</v>
      </c>
      <c r="B66" s="15" t="s">
        <v>264</v>
      </c>
      <c r="C66" s="16">
        <v>2021</v>
      </c>
      <c r="D66" s="75" t="s">
        <v>26</v>
      </c>
      <c r="E66" s="16" t="s">
        <v>265</v>
      </c>
      <c r="F66" s="17">
        <v>47</v>
      </c>
      <c r="G66" s="75" t="s">
        <v>110</v>
      </c>
      <c r="H66" s="75" t="s">
        <v>104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38987</v>
      </c>
      <c r="K66" s="37">
        <v>39987</v>
      </c>
      <c r="L66" s="35">
        <v>0.97</v>
      </c>
      <c r="M66" s="78">
        <f t="shared" si="9"/>
        <v>40192.783505154643</v>
      </c>
      <c r="N66" s="79">
        <f t="shared" si="10"/>
        <v>0.99488008823453966</v>
      </c>
      <c r="O66" s="80">
        <f t="shared" si="0"/>
        <v>-1000</v>
      </c>
      <c r="P66" s="19">
        <v>-4280</v>
      </c>
      <c r="Q66" s="19">
        <v>2585</v>
      </c>
      <c r="R66" s="81">
        <f t="shared" si="1"/>
        <v>-1695</v>
      </c>
      <c r="S66" s="82">
        <f t="shared" si="11"/>
        <v>-0.2932879735108378</v>
      </c>
      <c r="T66" s="83" t="s">
        <v>158</v>
      </c>
      <c r="U66" s="83" t="s">
        <v>196</v>
      </c>
      <c r="V66" s="83" t="s">
        <v>155</v>
      </c>
      <c r="W66" s="113">
        <f t="shared" si="12"/>
        <v>60</v>
      </c>
      <c r="AA66" s="75" t="s">
        <v>104</v>
      </c>
      <c r="AB66" s="44">
        <v>0</v>
      </c>
    </row>
    <row r="67" spans="1:28" ht="15">
      <c r="A67" s="15">
        <f t="shared" si="8"/>
        <v>54</v>
      </c>
      <c r="B67" s="15" t="s">
        <v>266</v>
      </c>
      <c r="C67" s="16">
        <v>2018</v>
      </c>
      <c r="D67" s="75" t="s">
        <v>43</v>
      </c>
      <c r="E67" s="16" t="s">
        <v>267</v>
      </c>
      <c r="F67" s="17">
        <v>45</v>
      </c>
      <c r="G67" s="75" t="s">
        <v>103</v>
      </c>
      <c r="H67" s="75" t="s">
        <v>104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7">
        <v>5987</v>
      </c>
      <c r="K67" s="37">
        <v>7963</v>
      </c>
      <c r="L67" s="35">
        <v>0.69</v>
      </c>
      <c r="M67" s="78">
        <f t="shared" si="9"/>
        <v>8676.8115942028999</v>
      </c>
      <c r="N67" s="79">
        <f t="shared" si="10"/>
        <v>0.91773342241523281</v>
      </c>
      <c r="O67" s="80">
        <f t="shared" si="0"/>
        <v>-1976</v>
      </c>
      <c r="P67" s="19">
        <v>-3720</v>
      </c>
      <c r="Q67" s="19">
        <v>0</v>
      </c>
      <c r="R67" s="81">
        <f t="shared" si="1"/>
        <v>-3720</v>
      </c>
      <c r="S67" s="82">
        <f t="shared" si="11"/>
        <v>-2.5472909355473767</v>
      </c>
      <c r="T67" s="83" t="s">
        <v>159</v>
      </c>
      <c r="U67" s="83" t="s">
        <v>154</v>
      </c>
      <c r="V67" s="83" t="s">
        <v>157</v>
      </c>
      <c r="W67" s="113">
        <f t="shared" si="12"/>
        <v>45</v>
      </c>
      <c r="AA67" s="75" t="s">
        <v>104</v>
      </c>
      <c r="AB67" s="44">
        <v>0</v>
      </c>
    </row>
    <row r="68" spans="1:28" ht="15">
      <c r="A68" s="15">
        <f t="shared" si="8"/>
        <v>55</v>
      </c>
      <c r="B68" s="15" t="s">
        <v>268</v>
      </c>
      <c r="C68" s="16">
        <v>2022</v>
      </c>
      <c r="D68" s="75" t="s">
        <v>17</v>
      </c>
      <c r="E68" s="16" t="s">
        <v>269</v>
      </c>
      <c r="F68" s="17">
        <v>22</v>
      </c>
      <c r="G68" s="75" t="s">
        <v>103</v>
      </c>
      <c r="H68" s="75" t="s">
        <v>108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37">
        <v>32232</v>
      </c>
      <c r="K68" s="37">
        <v>29789</v>
      </c>
      <c r="L68" s="35">
        <v>1.01</v>
      </c>
      <c r="M68" s="78">
        <f t="shared" si="9"/>
        <v>31912.871287128713</v>
      </c>
      <c r="N68" s="79">
        <f t="shared" si="10"/>
        <v>0.93344781583519487</v>
      </c>
      <c r="O68" s="80">
        <f t="shared" si="0"/>
        <v>2443</v>
      </c>
      <c r="P68" s="19">
        <v>3642</v>
      </c>
      <c r="Q68" s="19">
        <v>0</v>
      </c>
      <c r="R68" s="81">
        <f t="shared" si="1"/>
        <v>3642</v>
      </c>
      <c r="S68" s="82">
        <f t="shared" si="11"/>
        <v>2.2792811273325291</v>
      </c>
      <c r="T68" s="83" t="s">
        <v>162</v>
      </c>
      <c r="U68" s="83" t="s">
        <v>153</v>
      </c>
      <c r="V68" s="83" t="s">
        <v>157</v>
      </c>
      <c r="W68" s="113">
        <f t="shared" si="12"/>
        <v>30</v>
      </c>
      <c r="AA68" s="75" t="s">
        <v>108</v>
      </c>
      <c r="AB68" s="44">
        <v>-1000</v>
      </c>
    </row>
    <row r="69" spans="1:28" ht="15">
      <c r="A69" s="15">
        <f t="shared" si="8"/>
        <v>56</v>
      </c>
      <c r="B69" s="15" t="s">
        <v>247</v>
      </c>
      <c r="C69" s="16">
        <v>2020</v>
      </c>
      <c r="D69" s="75" t="s">
        <v>17</v>
      </c>
      <c r="E69" s="16" t="s">
        <v>270</v>
      </c>
      <c r="F69" s="17">
        <v>23</v>
      </c>
      <c r="G69" s="75" t="s">
        <v>112</v>
      </c>
      <c r="H69" s="75" t="s">
        <v>108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>
        <v>28272</v>
      </c>
      <c r="K69" s="37">
        <v>28272</v>
      </c>
      <c r="L69" s="35">
        <v>1.03</v>
      </c>
      <c r="M69" s="78">
        <f t="shared" si="9"/>
        <v>27448.543689320388</v>
      </c>
      <c r="N69" s="79">
        <f t="shared" si="10"/>
        <v>1.03</v>
      </c>
      <c r="O69" s="80">
        <f t="shared" si="0"/>
        <v>0</v>
      </c>
      <c r="P69" s="19">
        <v>1095</v>
      </c>
      <c r="Q69" s="19">
        <v>3427</v>
      </c>
      <c r="R69" s="81">
        <f t="shared" si="1"/>
        <v>4522</v>
      </c>
      <c r="S69" s="82">
        <f t="shared" si="11"/>
        <v>2.6043761428701702</v>
      </c>
      <c r="T69" s="83" t="s">
        <v>170</v>
      </c>
      <c r="U69" s="83" t="s">
        <v>196</v>
      </c>
      <c r="V69" s="83" t="s">
        <v>157</v>
      </c>
      <c r="W69" s="113">
        <f t="shared" si="12"/>
        <v>30</v>
      </c>
      <c r="AA69" s="75" t="s">
        <v>108</v>
      </c>
      <c r="AB69" s="44">
        <v>-3000</v>
      </c>
    </row>
    <row r="70" spans="1:28" ht="15">
      <c r="A70" s="15">
        <f t="shared" si="8"/>
        <v>57</v>
      </c>
      <c r="B70" s="15" t="s">
        <v>271</v>
      </c>
      <c r="C70" s="16">
        <v>2020</v>
      </c>
      <c r="D70" s="75" t="s">
        <v>23</v>
      </c>
      <c r="E70" s="16" t="s">
        <v>272</v>
      </c>
      <c r="F70" s="17">
        <v>42</v>
      </c>
      <c r="G70" s="75" t="s">
        <v>110</v>
      </c>
      <c r="H70" s="75" t="s">
        <v>108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7">
        <v>41987</v>
      </c>
      <c r="K70" s="37">
        <v>39987</v>
      </c>
      <c r="L70" s="35">
        <v>0.89</v>
      </c>
      <c r="M70" s="78">
        <f t="shared" si="9"/>
        <v>47176.404494382019</v>
      </c>
      <c r="N70" s="79">
        <f t="shared" si="10"/>
        <v>0.84760592564365167</v>
      </c>
      <c r="O70" s="80">
        <f t="shared" si="0"/>
        <v>2000</v>
      </c>
      <c r="P70" s="19">
        <v>-1785</v>
      </c>
      <c r="Q70" s="19">
        <v>3483</v>
      </c>
      <c r="R70" s="81">
        <f t="shared" si="1"/>
        <v>1698</v>
      </c>
      <c r="S70" s="82">
        <f t="shared" si="11"/>
        <v>0.34842204621003814</v>
      </c>
      <c r="T70" s="83" t="s">
        <v>170</v>
      </c>
      <c r="U70" s="83" t="s">
        <v>153</v>
      </c>
      <c r="V70" s="83" t="s">
        <v>155</v>
      </c>
      <c r="W70" s="113">
        <f t="shared" si="12"/>
        <v>45</v>
      </c>
      <c r="AA70" s="75" t="s">
        <v>104</v>
      </c>
      <c r="AB70" s="44">
        <v>0</v>
      </c>
    </row>
    <row r="71" spans="1:28" ht="15">
      <c r="A71" s="15">
        <f t="shared" si="8"/>
        <v>58</v>
      </c>
      <c r="B71" s="15" t="s">
        <v>273</v>
      </c>
      <c r="C71" s="16">
        <v>2016</v>
      </c>
      <c r="D71" s="75" t="s">
        <v>15</v>
      </c>
      <c r="E71" s="16" t="s">
        <v>202</v>
      </c>
      <c r="F71" s="17">
        <v>3</v>
      </c>
      <c r="G71" s="75" t="s">
        <v>112</v>
      </c>
      <c r="H71" s="75" t="s">
        <v>104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23987</v>
      </c>
      <c r="K71" s="37">
        <v>19551</v>
      </c>
      <c r="L71" s="35">
        <v>1.1000000000000001</v>
      </c>
      <c r="M71" s="78">
        <f t="shared" si="9"/>
        <v>21806.363636363636</v>
      </c>
      <c r="N71" s="79">
        <f t="shared" si="10"/>
        <v>0.89657314378621755</v>
      </c>
      <c r="O71" s="80">
        <f t="shared" si="0"/>
        <v>4436</v>
      </c>
      <c r="P71" s="19">
        <v>1758</v>
      </c>
      <c r="Q71" s="19">
        <v>0</v>
      </c>
      <c r="R71" s="81">
        <f t="shared" si="1"/>
        <v>1758</v>
      </c>
      <c r="S71" s="82">
        <f t="shared" si="11"/>
        <v>11.856348002023267</v>
      </c>
      <c r="T71" s="83" t="s">
        <v>169</v>
      </c>
      <c r="U71" s="83" t="s">
        <v>153</v>
      </c>
      <c r="V71" s="83" t="s">
        <v>156</v>
      </c>
      <c r="W71" s="113">
        <f t="shared" si="12"/>
        <v>30</v>
      </c>
      <c r="AA71" s="75" t="s">
        <v>104</v>
      </c>
      <c r="AB71" s="44">
        <v>0</v>
      </c>
    </row>
    <row r="72" spans="1:28" ht="15">
      <c r="A72" s="15">
        <f t="shared" si="8"/>
        <v>59</v>
      </c>
      <c r="B72" s="15" t="s">
        <v>274</v>
      </c>
      <c r="C72" s="16">
        <v>2022</v>
      </c>
      <c r="D72" s="75" t="s">
        <v>23</v>
      </c>
      <c r="E72" s="16" t="s">
        <v>275</v>
      </c>
      <c r="F72" s="17">
        <v>17</v>
      </c>
      <c r="G72" s="75" t="s">
        <v>103</v>
      </c>
      <c r="H72" s="75" t="s">
        <v>104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59987</v>
      </c>
      <c r="K72" s="37">
        <v>62187</v>
      </c>
      <c r="L72" s="35">
        <v>1</v>
      </c>
      <c r="M72" s="78">
        <f t="shared" si="9"/>
        <v>59987</v>
      </c>
      <c r="N72" s="79">
        <f t="shared" si="10"/>
        <v>1.0366746128327804</v>
      </c>
      <c r="O72" s="80">
        <f t="shared" si="0"/>
        <v>-2200</v>
      </c>
      <c r="P72" s="19">
        <v>647</v>
      </c>
      <c r="Q72" s="19">
        <v>4930</v>
      </c>
      <c r="R72" s="81">
        <f t="shared" si="1"/>
        <v>5577</v>
      </c>
      <c r="S72" s="82">
        <f t="shared" si="11"/>
        <v>1.9190961402435527</v>
      </c>
      <c r="T72" s="83" t="s">
        <v>159</v>
      </c>
      <c r="U72" s="83" t="s">
        <v>153</v>
      </c>
      <c r="V72" s="83" t="s">
        <v>156</v>
      </c>
      <c r="W72" s="113">
        <f t="shared" si="12"/>
        <v>30</v>
      </c>
      <c r="AA72" s="75" t="s">
        <v>108</v>
      </c>
      <c r="AB72" s="44">
        <v>0</v>
      </c>
    </row>
    <row r="73" spans="1:28" ht="15">
      <c r="A73" s="15">
        <f t="shared" si="8"/>
        <v>60</v>
      </c>
      <c r="B73" s="15" t="s">
        <v>276</v>
      </c>
      <c r="C73" s="16">
        <v>2017</v>
      </c>
      <c r="D73" s="75" t="s">
        <v>30</v>
      </c>
      <c r="E73" s="16" t="s">
        <v>277</v>
      </c>
      <c r="F73" s="17">
        <v>47</v>
      </c>
      <c r="G73" s="75" t="s">
        <v>103</v>
      </c>
      <c r="H73" s="75" t="s">
        <v>104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15987</v>
      </c>
      <c r="K73" s="37">
        <v>12390</v>
      </c>
      <c r="L73" s="35">
        <v>0.93</v>
      </c>
      <c r="M73" s="78">
        <f t="shared" si="9"/>
        <v>17190.322580645159</v>
      </c>
      <c r="N73" s="79">
        <f t="shared" si="10"/>
        <v>0.72075436291987249</v>
      </c>
      <c r="O73" s="80">
        <f t="shared" si="0"/>
        <v>3597</v>
      </c>
      <c r="P73" s="19">
        <v>-4889</v>
      </c>
      <c r="Q73" s="19">
        <v>585</v>
      </c>
      <c r="R73" s="81">
        <f t="shared" si="1"/>
        <v>-4304</v>
      </c>
      <c r="S73" s="82">
        <f t="shared" si="11"/>
        <v>-1.9079118300039528</v>
      </c>
      <c r="T73" s="83" t="s">
        <v>168</v>
      </c>
      <c r="U73" s="83" t="s">
        <v>153</v>
      </c>
      <c r="V73" s="83" t="s">
        <v>156</v>
      </c>
      <c r="W73" s="113">
        <f t="shared" si="12"/>
        <v>60</v>
      </c>
      <c r="AA73" s="75" t="s">
        <v>104</v>
      </c>
      <c r="AB73" s="44">
        <v>0</v>
      </c>
    </row>
    <row r="74" spans="1:28" ht="15">
      <c r="A74" s="15">
        <f t="shared" si="8"/>
        <v>61</v>
      </c>
      <c r="B74" s="15" t="s">
        <v>278</v>
      </c>
      <c r="C74" s="16">
        <v>2020</v>
      </c>
      <c r="D74" s="75" t="s">
        <v>29</v>
      </c>
      <c r="E74" s="16" t="s">
        <v>279</v>
      </c>
      <c r="F74" s="17">
        <v>64</v>
      </c>
      <c r="G74" s="75" t="s">
        <v>103</v>
      </c>
      <c r="H74" s="75" t="s">
        <v>104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27987</v>
      </c>
      <c r="K74" s="37">
        <v>28962</v>
      </c>
      <c r="L74" s="35">
        <v>0.9</v>
      </c>
      <c r="M74" s="78">
        <f t="shared" si="9"/>
        <v>31096.666666666664</v>
      </c>
      <c r="N74" s="79">
        <f t="shared" si="10"/>
        <v>0.93135384285561162</v>
      </c>
      <c r="O74" s="80">
        <f t="shared" si="0"/>
        <v>-975</v>
      </c>
      <c r="P74" s="19">
        <v>-2473</v>
      </c>
      <c r="Q74" s="19">
        <v>0</v>
      </c>
      <c r="R74" s="81">
        <f t="shared" si="1"/>
        <v>-2473</v>
      </c>
      <c r="S74" s="82">
        <f t="shared" si="11"/>
        <v>-0.44252027994273901</v>
      </c>
      <c r="T74" s="83" t="s">
        <v>167</v>
      </c>
      <c r="U74" s="83" t="s">
        <v>153</v>
      </c>
      <c r="V74" s="83" t="s">
        <v>157</v>
      </c>
      <c r="W74" s="113">
        <f t="shared" si="12"/>
        <v>90</v>
      </c>
      <c r="AA74" s="75" t="s">
        <v>108</v>
      </c>
      <c r="AB74" s="44">
        <v>429</v>
      </c>
    </row>
    <row r="75" spans="1:28" ht="15">
      <c r="A75" s="15">
        <f t="shared" si="8"/>
        <v>62</v>
      </c>
      <c r="B75" s="15" t="s">
        <v>280</v>
      </c>
      <c r="C75" s="16">
        <v>2020</v>
      </c>
      <c r="D75" s="75" t="s">
        <v>26</v>
      </c>
      <c r="E75" s="16" t="s">
        <v>281</v>
      </c>
      <c r="F75" s="17">
        <v>35</v>
      </c>
      <c r="G75" s="75" t="s">
        <v>110</v>
      </c>
      <c r="H75" s="75" t="s">
        <v>104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>
        <v>20779</v>
      </c>
      <c r="K75" s="37">
        <v>19000</v>
      </c>
      <c r="L75" s="35">
        <v>0.91</v>
      </c>
      <c r="M75" s="78">
        <f t="shared" si="9"/>
        <v>22834.065934065933</v>
      </c>
      <c r="N75" s="79">
        <f t="shared" si="10"/>
        <v>0.83209009095721642</v>
      </c>
      <c r="O75" s="80">
        <f t="shared" si="0"/>
        <v>1779</v>
      </c>
      <c r="P75" s="19">
        <v>-503</v>
      </c>
      <c r="Q75" s="19">
        <v>2257</v>
      </c>
      <c r="R75" s="81">
        <f t="shared" si="1"/>
        <v>1754</v>
      </c>
      <c r="S75" s="82">
        <f t="shared" si="11"/>
        <v>0.92504449864855953</v>
      </c>
      <c r="T75" s="83" t="s">
        <v>169</v>
      </c>
      <c r="U75" s="83" t="s">
        <v>153</v>
      </c>
      <c r="V75" s="83" t="s">
        <v>157</v>
      </c>
      <c r="W75" s="113">
        <f t="shared" si="12"/>
        <v>45</v>
      </c>
      <c r="AA75" s="75" t="s">
        <v>104</v>
      </c>
      <c r="AB75" s="44">
        <v>0</v>
      </c>
    </row>
    <row r="76" spans="1:28" ht="15">
      <c r="A76" s="15">
        <f t="shared" si="8"/>
        <v>63</v>
      </c>
      <c r="B76" s="15" t="s">
        <v>282</v>
      </c>
      <c r="C76" s="16">
        <v>2023</v>
      </c>
      <c r="D76" s="75" t="s">
        <v>23</v>
      </c>
      <c r="E76" s="16" t="s">
        <v>248</v>
      </c>
      <c r="F76" s="17">
        <v>12</v>
      </c>
      <c r="G76" s="75" t="s">
        <v>103</v>
      </c>
      <c r="H76" s="75" t="s">
        <v>108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>
        <v>52987</v>
      </c>
      <c r="K76" s="38">
        <v>50000</v>
      </c>
      <c r="L76" s="36">
        <v>1</v>
      </c>
      <c r="M76" s="78">
        <f t="shared" si="9"/>
        <v>52987</v>
      </c>
      <c r="N76" s="79">
        <f t="shared" si="10"/>
        <v>0.94362768226168681</v>
      </c>
      <c r="O76" s="80">
        <f t="shared" si="0"/>
        <v>2987</v>
      </c>
      <c r="P76" s="19">
        <v>444</v>
      </c>
      <c r="Q76" s="19">
        <v>0</v>
      </c>
      <c r="R76" s="81">
        <f t="shared" si="1"/>
        <v>444</v>
      </c>
      <c r="S76" s="82">
        <f t="shared" si="11"/>
        <v>0.26878682702397283</v>
      </c>
      <c r="T76" s="83" t="s">
        <v>170</v>
      </c>
      <c r="U76" s="83" t="s">
        <v>154</v>
      </c>
      <c r="V76" s="83" t="s">
        <v>157</v>
      </c>
      <c r="W76" s="113">
        <f t="shared" si="12"/>
        <v>30</v>
      </c>
      <c r="AA76" s="75" t="s">
        <v>104</v>
      </c>
      <c r="AB76" s="44">
        <v>0</v>
      </c>
    </row>
    <row r="77" spans="1:28" ht="15">
      <c r="A77" s="15">
        <f t="shared" si="8"/>
        <v>64</v>
      </c>
      <c r="B77" s="15" t="s">
        <v>283</v>
      </c>
      <c r="C77" s="16">
        <v>2020</v>
      </c>
      <c r="D77" s="75" t="s">
        <v>17</v>
      </c>
      <c r="E77" s="16" t="s">
        <v>204</v>
      </c>
      <c r="F77" s="17">
        <v>56</v>
      </c>
      <c r="G77" s="75" t="s">
        <v>109</v>
      </c>
      <c r="H77" s="75" t="s">
        <v>104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>
        <v>23997</v>
      </c>
      <c r="K77" s="38">
        <v>23997</v>
      </c>
      <c r="L77" s="36">
        <v>0.91</v>
      </c>
      <c r="M77" s="78">
        <f t="shared" si="9"/>
        <v>26370.329670329669</v>
      </c>
      <c r="N77" s="79">
        <f t="shared" si="10"/>
        <v>0.91</v>
      </c>
      <c r="O77" s="80">
        <f t="shared" ref="O77:O140" si="13">IF(K77=0,"BLANK",(J77-K77))</f>
        <v>0</v>
      </c>
      <c r="P77" s="19">
        <v>563</v>
      </c>
      <c r="Q77" s="19">
        <v>1044</v>
      </c>
      <c r="R77" s="81">
        <f t="shared" ref="R77:R140" si="14">IF(K77=0,"BLANK",SUM(P77:Q77))</f>
        <v>1607</v>
      </c>
      <c r="S77" s="82">
        <f t="shared" si="11"/>
        <v>0.44084297540813716</v>
      </c>
      <c r="T77" s="83" t="s">
        <v>167</v>
      </c>
      <c r="U77" s="83" t="s">
        <v>153</v>
      </c>
      <c r="V77" s="83" t="s">
        <v>156</v>
      </c>
      <c r="W77" s="113">
        <f t="shared" ref="W77:W108" si="15">IF(AND(F77&gt;0,F77&lt;=30),30,IF(AND(F77&gt;=31,F77&lt;=45),45,IF(AND(F77&gt;=46,F77&lt;=60),60,IF(AND(F77&gt;=61,F77&lt;=90),90,IF(F77&gt;=91,91,0)))))</f>
        <v>60</v>
      </c>
      <c r="AA77" s="75" t="s">
        <v>104</v>
      </c>
      <c r="AB77" s="44">
        <v>0</v>
      </c>
    </row>
    <row r="78" spans="1:28" ht="15">
      <c r="A78" s="15">
        <f t="shared" si="8"/>
        <v>65</v>
      </c>
      <c r="B78" s="15" t="s">
        <v>284</v>
      </c>
      <c r="C78" s="16">
        <v>2020</v>
      </c>
      <c r="D78" s="75" t="s">
        <v>17</v>
      </c>
      <c r="E78" s="16" t="s">
        <v>285</v>
      </c>
      <c r="F78" s="17">
        <v>7</v>
      </c>
      <c r="G78" s="75" t="s">
        <v>119</v>
      </c>
      <c r="H78" s="75" t="s">
        <v>104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7">
        <v>21987</v>
      </c>
      <c r="K78" s="38">
        <v>21987</v>
      </c>
      <c r="L78" s="36">
        <v>0.99</v>
      </c>
      <c r="M78" s="78">
        <f t="shared" si="9"/>
        <v>22209.090909090908</v>
      </c>
      <c r="N78" s="79">
        <f t="shared" si="10"/>
        <v>0.99</v>
      </c>
      <c r="O78" s="80">
        <f t="shared" si="13"/>
        <v>0</v>
      </c>
      <c r="P78" s="19">
        <v>879</v>
      </c>
      <c r="Q78" s="19">
        <v>1221</v>
      </c>
      <c r="R78" s="81">
        <f t="shared" si="14"/>
        <v>2100</v>
      </c>
      <c r="S78" s="82">
        <f t="shared" si="11"/>
        <v>5.1165434906196703</v>
      </c>
      <c r="T78" s="83" t="s">
        <v>160</v>
      </c>
      <c r="U78" s="83" t="s">
        <v>154</v>
      </c>
      <c r="V78" s="83" t="s">
        <v>157</v>
      </c>
      <c r="W78" s="113">
        <f t="shared" si="15"/>
        <v>30</v>
      </c>
      <c r="AA78" s="75" t="s">
        <v>104</v>
      </c>
      <c r="AB78" s="44">
        <v>0</v>
      </c>
    </row>
    <row r="79" spans="1:28" ht="15">
      <c r="A79" s="15">
        <f t="shared" ref="A79:A142" si="16">A78+1</f>
        <v>66</v>
      </c>
      <c r="B79" s="15" t="s">
        <v>286</v>
      </c>
      <c r="C79" s="16">
        <v>2019</v>
      </c>
      <c r="D79" s="75" t="s">
        <v>30</v>
      </c>
      <c r="E79" s="16" t="s">
        <v>287</v>
      </c>
      <c r="F79" s="17">
        <v>68</v>
      </c>
      <c r="G79" s="75" t="s">
        <v>110</v>
      </c>
      <c r="H79" s="75" t="s">
        <v>104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7">
        <v>14987</v>
      </c>
      <c r="K79" s="38">
        <v>12615</v>
      </c>
      <c r="L79" s="36">
        <v>1</v>
      </c>
      <c r="M79" s="78">
        <f t="shared" ref="M79:M142" si="17">J79/L79</f>
        <v>14987</v>
      </c>
      <c r="N79" s="79">
        <f t="shared" ref="N79:N142" si="18">K79/M79</f>
        <v>0.8417294988990458</v>
      </c>
      <c r="O79" s="80">
        <f t="shared" si="13"/>
        <v>2372</v>
      </c>
      <c r="P79" s="19">
        <v>-2255</v>
      </c>
      <c r="Q79" s="19">
        <v>817</v>
      </c>
      <c r="R79" s="81">
        <f t="shared" si="14"/>
        <v>-1438</v>
      </c>
      <c r="S79" s="82">
        <f t="shared" ref="S79:S142" si="19">(R79/(K79-P79))*(360/F79)</f>
        <v>-0.51196645436923927</v>
      </c>
      <c r="T79" s="83" t="s">
        <v>162</v>
      </c>
      <c r="U79" s="83" t="s">
        <v>153</v>
      </c>
      <c r="V79" s="83" t="s">
        <v>157</v>
      </c>
      <c r="W79" s="113">
        <f t="shared" si="15"/>
        <v>90</v>
      </c>
      <c r="AA79" s="75" t="s">
        <v>104</v>
      </c>
      <c r="AB79" s="44">
        <v>0</v>
      </c>
    </row>
    <row r="80" spans="1:28" ht="15">
      <c r="A80" s="15">
        <f t="shared" si="16"/>
        <v>67</v>
      </c>
      <c r="B80" s="15" t="s">
        <v>288</v>
      </c>
      <c r="C80" s="16">
        <v>2021</v>
      </c>
      <c r="D80" s="75" t="s">
        <v>23</v>
      </c>
      <c r="E80" s="16" t="s">
        <v>216</v>
      </c>
      <c r="F80" s="17">
        <v>24</v>
      </c>
      <c r="G80" s="75" t="s">
        <v>103</v>
      </c>
      <c r="H80" s="75" t="s">
        <v>108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7">
        <v>27987</v>
      </c>
      <c r="K80" s="38">
        <v>28987</v>
      </c>
      <c r="L80" s="36">
        <v>1</v>
      </c>
      <c r="M80" s="78">
        <f t="shared" si="17"/>
        <v>27987</v>
      </c>
      <c r="N80" s="79">
        <f t="shared" si="18"/>
        <v>1.0357308750491299</v>
      </c>
      <c r="O80" s="80">
        <f t="shared" si="13"/>
        <v>-1000</v>
      </c>
      <c r="P80" s="19">
        <v>1420</v>
      </c>
      <c r="Q80" s="19">
        <v>3215</v>
      </c>
      <c r="R80" s="81">
        <f t="shared" si="14"/>
        <v>4635</v>
      </c>
      <c r="S80" s="82">
        <f t="shared" si="19"/>
        <v>2.5220372184133204</v>
      </c>
      <c r="T80" s="83" t="s">
        <v>162</v>
      </c>
      <c r="U80" s="83" t="s">
        <v>153</v>
      </c>
      <c r="V80" s="83" t="s">
        <v>156</v>
      </c>
      <c r="W80" s="113">
        <f t="shared" si="15"/>
        <v>30</v>
      </c>
      <c r="AA80" s="75" t="s">
        <v>104</v>
      </c>
      <c r="AB80" s="44">
        <v>0</v>
      </c>
    </row>
    <row r="81" spans="1:28" ht="15">
      <c r="A81" s="15">
        <f t="shared" si="16"/>
        <v>68</v>
      </c>
      <c r="B81" s="15" t="s">
        <v>289</v>
      </c>
      <c r="C81" s="16">
        <v>2017</v>
      </c>
      <c r="D81" s="75" t="s">
        <v>47</v>
      </c>
      <c r="E81" s="16">
        <v>1500</v>
      </c>
      <c r="F81" s="17">
        <v>1</v>
      </c>
      <c r="G81" s="75" t="s">
        <v>103</v>
      </c>
      <c r="H81" s="75" t="s">
        <v>104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35987</v>
      </c>
      <c r="K81" s="38">
        <v>28000</v>
      </c>
      <c r="L81" s="36">
        <v>1.04</v>
      </c>
      <c r="M81" s="78">
        <f t="shared" si="17"/>
        <v>34602.884615384617</v>
      </c>
      <c r="N81" s="79">
        <f t="shared" si="18"/>
        <v>0.8091810931725345</v>
      </c>
      <c r="O81" s="80">
        <f t="shared" si="13"/>
        <v>7987</v>
      </c>
      <c r="P81" s="19">
        <v>1241</v>
      </c>
      <c r="Q81" s="19">
        <v>202</v>
      </c>
      <c r="R81" s="81">
        <f t="shared" si="14"/>
        <v>1443</v>
      </c>
      <c r="S81" s="82">
        <f t="shared" si="19"/>
        <v>19.413281512762062</v>
      </c>
      <c r="T81" s="83" t="s">
        <v>158</v>
      </c>
      <c r="U81" s="83" t="s">
        <v>153</v>
      </c>
      <c r="V81" s="83" t="s">
        <v>156</v>
      </c>
      <c r="W81" s="113">
        <f t="shared" si="15"/>
        <v>30</v>
      </c>
      <c r="AA81" s="75" t="s">
        <v>104</v>
      </c>
      <c r="AB81" s="44">
        <v>0</v>
      </c>
    </row>
    <row r="82" spans="1:28" ht="15">
      <c r="A82" s="15">
        <f t="shared" si="16"/>
        <v>69</v>
      </c>
      <c r="B82" s="15" t="s">
        <v>290</v>
      </c>
      <c r="C82" s="16">
        <v>2020</v>
      </c>
      <c r="D82" s="75" t="s">
        <v>21</v>
      </c>
      <c r="E82" s="16" t="s">
        <v>291</v>
      </c>
      <c r="F82" s="17">
        <v>14</v>
      </c>
      <c r="G82" s="75" t="s">
        <v>110</v>
      </c>
      <c r="H82" s="75" t="s">
        <v>104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7">
        <v>35292</v>
      </c>
      <c r="K82" s="38">
        <v>35292</v>
      </c>
      <c r="L82" s="36">
        <v>0.91</v>
      </c>
      <c r="M82" s="78">
        <f t="shared" si="17"/>
        <v>38782.417582417584</v>
      </c>
      <c r="N82" s="79">
        <f t="shared" si="18"/>
        <v>0.90999999999999992</v>
      </c>
      <c r="O82" s="80">
        <f t="shared" si="13"/>
        <v>0</v>
      </c>
      <c r="P82" s="19">
        <v>-2786</v>
      </c>
      <c r="Q82" s="19">
        <v>6244</v>
      </c>
      <c r="R82" s="81">
        <f t="shared" si="14"/>
        <v>3458</v>
      </c>
      <c r="S82" s="82">
        <f t="shared" si="19"/>
        <v>2.3352066810231631</v>
      </c>
      <c r="T82" s="83" t="s">
        <v>243</v>
      </c>
      <c r="U82" s="83" t="s">
        <v>153</v>
      </c>
      <c r="V82" s="83" t="s">
        <v>156</v>
      </c>
      <c r="W82" s="113">
        <f t="shared" si="15"/>
        <v>30</v>
      </c>
      <c r="AA82" s="75" t="s">
        <v>108</v>
      </c>
      <c r="AB82" s="44">
        <v>1000</v>
      </c>
    </row>
    <row r="83" spans="1:28" ht="15">
      <c r="A83" s="15">
        <f t="shared" si="16"/>
        <v>70</v>
      </c>
      <c r="B83" s="15" t="s">
        <v>292</v>
      </c>
      <c r="C83" s="16">
        <v>2021</v>
      </c>
      <c r="D83" s="75" t="s">
        <v>24</v>
      </c>
      <c r="E83" s="16" t="s">
        <v>293</v>
      </c>
      <c r="F83" s="17">
        <v>36</v>
      </c>
      <c r="G83" s="75" t="s">
        <v>103</v>
      </c>
      <c r="H83" s="75" t="s">
        <v>104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32997</v>
      </c>
      <c r="K83" s="38">
        <v>33997</v>
      </c>
      <c r="L83" s="36">
        <v>0.92</v>
      </c>
      <c r="M83" s="78">
        <f t="shared" si="17"/>
        <v>35866.304347826088</v>
      </c>
      <c r="N83" s="79">
        <f t="shared" si="18"/>
        <v>0.94788132254447377</v>
      </c>
      <c r="O83" s="80">
        <f t="shared" si="13"/>
        <v>-1000</v>
      </c>
      <c r="P83" s="19">
        <v>-1709</v>
      </c>
      <c r="Q83" s="19">
        <v>0</v>
      </c>
      <c r="R83" s="81">
        <f t="shared" si="14"/>
        <v>-1709</v>
      </c>
      <c r="S83" s="82">
        <f t="shared" si="19"/>
        <v>-0.47863104240183724</v>
      </c>
      <c r="T83" s="83" t="s">
        <v>161</v>
      </c>
      <c r="U83" s="83" t="s">
        <v>153</v>
      </c>
      <c r="V83" s="83" t="s">
        <v>156</v>
      </c>
      <c r="W83" s="113">
        <f t="shared" si="15"/>
        <v>45</v>
      </c>
      <c r="AA83" s="75" t="s">
        <v>108</v>
      </c>
      <c r="AB83" s="44">
        <v>250</v>
      </c>
    </row>
    <row r="84" spans="1:28" ht="15">
      <c r="A84" s="15">
        <f t="shared" si="16"/>
        <v>71</v>
      </c>
      <c r="B84" s="15" t="s">
        <v>294</v>
      </c>
      <c r="C84" s="16">
        <v>2014</v>
      </c>
      <c r="D84" s="75" t="s">
        <v>21</v>
      </c>
      <c r="E84" s="16" t="s">
        <v>295</v>
      </c>
      <c r="F84" s="17">
        <v>16</v>
      </c>
      <c r="G84" s="75" t="s">
        <v>103</v>
      </c>
      <c r="H84" s="75" t="s">
        <v>104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7">
        <v>15987</v>
      </c>
      <c r="K84" s="37">
        <v>12273</v>
      </c>
      <c r="L84" s="35">
        <v>0.99</v>
      </c>
      <c r="M84" s="78">
        <f t="shared" si="17"/>
        <v>16148.484848484848</v>
      </c>
      <c r="N84" s="79">
        <f t="shared" si="18"/>
        <v>0.76000938262338147</v>
      </c>
      <c r="O84" s="80">
        <f t="shared" si="13"/>
        <v>3714</v>
      </c>
      <c r="P84" s="19">
        <v>-1223</v>
      </c>
      <c r="Q84" s="19">
        <v>0</v>
      </c>
      <c r="R84" s="81">
        <f t="shared" si="14"/>
        <v>-1223</v>
      </c>
      <c r="S84" s="82">
        <f t="shared" si="19"/>
        <v>-2.0389374629519859</v>
      </c>
      <c r="T84" s="83" t="s">
        <v>162</v>
      </c>
      <c r="U84" s="83" t="s">
        <v>153</v>
      </c>
      <c r="V84" s="83" t="s">
        <v>156</v>
      </c>
      <c r="W84" s="113">
        <f t="shared" si="15"/>
        <v>30</v>
      </c>
      <c r="AA84" s="75" t="s">
        <v>104</v>
      </c>
      <c r="AB84" s="44">
        <v>0</v>
      </c>
    </row>
    <row r="85" spans="1:28" ht="15">
      <c r="A85" s="15">
        <f t="shared" si="16"/>
        <v>72</v>
      </c>
      <c r="B85" s="15" t="s">
        <v>296</v>
      </c>
      <c r="C85" s="16">
        <v>2021</v>
      </c>
      <c r="D85" s="75" t="s">
        <v>17</v>
      </c>
      <c r="E85" s="16" t="s">
        <v>297</v>
      </c>
      <c r="F85" s="17">
        <v>44</v>
      </c>
      <c r="G85" s="75" t="s">
        <v>103</v>
      </c>
      <c r="H85" s="75" t="s">
        <v>104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28987</v>
      </c>
      <c r="K85" s="38">
        <v>28987</v>
      </c>
      <c r="L85" s="36">
        <v>0.95</v>
      </c>
      <c r="M85" s="78">
        <f t="shared" si="17"/>
        <v>30512.63157894737</v>
      </c>
      <c r="N85" s="79">
        <f t="shared" si="18"/>
        <v>0.95</v>
      </c>
      <c r="O85" s="80">
        <f t="shared" si="13"/>
        <v>0</v>
      </c>
      <c r="P85" s="19">
        <v>1291</v>
      </c>
      <c r="Q85" s="19">
        <v>2510</v>
      </c>
      <c r="R85" s="81">
        <f t="shared" si="14"/>
        <v>3801</v>
      </c>
      <c r="S85" s="82">
        <f t="shared" si="19"/>
        <v>1.1228730108712779</v>
      </c>
      <c r="T85" s="83" t="s">
        <v>158</v>
      </c>
      <c r="U85" s="83" t="s">
        <v>153</v>
      </c>
      <c r="V85" s="83" t="s">
        <v>156</v>
      </c>
      <c r="W85" s="113">
        <f t="shared" si="15"/>
        <v>45</v>
      </c>
      <c r="AA85" s="75" t="s">
        <v>104</v>
      </c>
      <c r="AB85" s="44">
        <v>0</v>
      </c>
    </row>
    <row r="86" spans="1:28" ht="15">
      <c r="A86" s="15">
        <f t="shared" si="16"/>
        <v>73</v>
      </c>
      <c r="B86" s="15" t="s">
        <v>298</v>
      </c>
      <c r="C86" s="16">
        <v>2008</v>
      </c>
      <c r="D86" s="75" t="s">
        <v>29</v>
      </c>
      <c r="E86" s="16" t="s">
        <v>218</v>
      </c>
      <c r="F86" s="17">
        <v>9</v>
      </c>
      <c r="G86" s="75" t="s">
        <v>103</v>
      </c>
      <c r="H86" s="75" t="s">
        <v>104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7">
        <v>8997</v>
      </c>
      <c r="K86" s="38">
        <v>8997</v>
      </c>
      <c r="L86" s="36">
        <v>1.05</v>
      </c>
      <c r="M86" s="78">
        <f t="shared" si="17"/>
        <v>8568.5714285714275</v>
      </c>
      <c r="N86" s="79">
        <f t="shared" si="18"/>
        <v>1.05</v>
      </c>
      <c r="O86" s="80">
        <f t="shared" si="13"/>
        <v>0</v>
      </c>
      <c r="P86" s="19">
        <v>2384</v>
      </c>
      <c r="Q86" s="19">
        <v>1360</v>
      </c>
      <c r="R86" s="81">
        <f t="shared" si="14"/>
        <v>3744</v>
      </c>
      <c r="S86" s="82">
        <f t="shared" si="19"/>
        <v>22.646302737033114</v>
      </c>
      <c r="T86" s="83" t="s">
        <v>168</v>
      </c>
      <c r="U86" s="83" t="s">
        <v>153</v>
      </c>
      <c r="V86" s="83" t="s">
        <v>156</v>
      </c>
      <c r="W86" s="113">
        <f t="shared" si="15"/>
        <v>30</v>
      </c>
      <c r="AA86" s="75" t="s">
        <v>108</v>
      </c>
      <c r="AB86" s="44">
        <v>-700</v>
      </c>
    </row>
    <row r="87" spans="1:28" ht="15">
      <c r="A87" s="15">
        <f t="shared" si="16"/>
        <v>74</v>
      </c>
      <c r="B87" s="15" t="s">
        <v>299</v>
      </c>
      <c r="C87" s="16">
        <v>2014</v>
      </c>
      <c r="D87" s="75" t="s">
        <v>23</v>
      </c>
      <c r="E87" s="16" t="s">
        <v>225</v>
      </c>
      <c r="F87" s="17">
        <v>34</v>
      </c>
      <c r="G87" s="75" t="s">
        <v>103</v>
      </c>
      <c r="H87" s="75" t="s">
        <v>104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>
        <v>15987</v>
      </c>
      <c r="K87" s="38">
        <v>16487</v>
      </c>
      <c r="L87" s="36">
        <v>1.05</v>
      </c>
      <c r="M87" s="78">
        <f t="shared" si="17"/>
        <v>15225.714285714284</v>
      </c>
      <c r="N87" s="79">
        <f t="shared" si="18"/>
        <v>1.0828391818352412</v>
      </c>
      <c r="O87" s="80">
        <f t="shared" si="13"/>
        <v>-500</v>
      </c>
      <c r="P87" s="19">
        <v>593</v>
      </c>
      <c r="Q87" s="19">
        <v>0</v>
      </c>
      <c r="R87" s="81">
        <f t="shared" si="14"/>
        <v>593</v>
      </c>
      <c r="S87" s="82">
        <f t="shared" si="19"/>
        <v>0.39504363466791015</v>
      </c>
      <c r="T87" s="83" t="s">
        <v>169</v>
      </c>
      <c r="U87" s="83" t="s">
        <v>154</v>
      </c>
      <c r="V87" s="83" t="s">
        <v>155</v>
      </c>
      <c r="W87" s="113">
        <f t="shared" si="15"/>
        <v>45</v>
      </c>
      <c r="AA87" s="75" t="s">
        <v>104</v>
      </c>
      <c r="AB87" s="44">
        <v>0</v>
      </c>
    </row>
    <row r="88" spans="1:28" ht="15">
      <c r="A88" s="15">
        <f t="shared" si="16"/>
        <v>75</v>
      </c>
      <c r="B88" s="15" t="s">
        <v>300</v>
      </c>
      <c r="C88" s="16">
        <v>2020</v>
      </c>
      <c r="D88" s="75" t="s">
        <v>15</v>
      </c>
      <c r="E88" s="16" t="s">
        <v>301</v>
      </c>
      <c r="F88" s="17">
        <v>47</v>
      </c>
      <c r="G88" s="75" t="s">
        <v>103</v>
      </c>
      <c r="H88" s="75" t="s">
        <v>108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7">
        <v>20987</v>
      </c>
      <c r="K88" s="37">
        <v>21745</v>
      </c>
      <c r="L88" s="35">
        <v>0.96</v>
      </c>
      <c r="M88" s="78">
        <f t="shared" si="17"/>
        <v>21861.458333333336</v>
      </c>
      <c r="N88" s="79">
        <f t="shared" si="18"/>
        <v>0.99467289274312654</v>
      </c>
      <c r="O88" s="80">
        <f t="shared" si="13"/>
        <v>-758</v>
      </c>
      <c r="P88" s="19">
        <v>-2562</v>
      </c>
      <c r="Q88" s="19">
        <v>102</v>
      </c>
      <c r="R88" s="81">
        <f t="shared" si="14"/>
        <v>-2460</v>
      </c>
      <c r="S88" s="82">
        <f t="shared" si="19"/>
        <v>-0.77519040570573761</v>
      </c>
      <c r="T88" s="83" t="s">
        <v>161</v>
      </c>
      <c r="U88" s="83" t="s">
        <v>154</v>
      </c>
      <c r="V88" s="83" t="s">
        <v>155</v>
      </c>
      <c r="W88" s="113">
        <f t="shared" si="15"/>
        <v>60</v>
      </c>
      <c r="AA88" s="75" t="s">
        <v>108</v>
      </c>
      <c r="AB88" s="44">
        <v>-884</v>
      </c>
    </row>
    <row r="89" spans="1:28" ht="15">
      <c r="A89" s="15">
        <f t="shared" si="16"/>
        <v>76</v>
      </c>
      <c r="B89" s="15" t="s">
        <v>302</v>
      </c>
      <c r="C89" s="16">
        <v>2017</v>
      </c>
      <c r="D89" s="75" t="s">
        <v>15</v>
      </c>
      <c r="E89" s="16" t="s">
        <v>303</v>
      </c>
      <c r="F89" s="17">
        <v>62</v>
      </c>
      <c r="G89" s="75" t="s">
        <v>103</v>
      </c>
      <c r="H89" s="75" t="s">
        <v>104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7">
        <v>11987</v>
      </c>
      <c r="K89" s="38">
        <v>12987</v>
      </c>
      <c r="L89" s="36">
        <v>0.96</v>
      </c>
      <c r="M89" s="78">
        <f t="shared" si="17"/>
        <v>12486.458333333334</v>
      </c>
      <c r="N89" s="79">
        <f t="shared" si="18"/>
        <v>1.0400867606573787</v>
      </c>
      <c r="O89" s="80">
        <f t="shared" si="13"/>
        <v>-1000</v>
      </c>
      <c r="P89" s="19">
        <v>-1818</v>
      </c>
      <c r="Q89" s="19">
        <v>2530</v>
      </c>
      <c r="R89" s="81">
        <f t="shared" si="14"/>
        <v>712</v>
      </c>
      <c r="S89" s="82">
        <f t="shared" si="19"/>
        <v>0.27924306304539659</v>
      </c>
      <c r="T89" s="83" t="s">
        <v>164</v>
      </c>
      <c r="U89" s="83" t="s">
        <v>196</v>
      </c>
      <c r="V89" s="83" t="s">
        <v>156</v>
      </c>
      <c r="W89" s="113">
        <f t="shared" si="15"/>
        <v>90</v>
      </c>
      <c r="AA89" s="75" t="s">
        <v>104</v>
      </c>
      <c r="AB89" s="44">
        <v>0</v>
      </c>
    </row>
    <row r="90" spans="1:28" ht="15">
      <c r="A90" s="15">
        <f t="shared" si="16"/>
        <v>77</v>
      </c>
      <c r="B90" s="15" t="s">
        <v>304</v>
      </c>
      <c r="C90" s="16">
        <v>2018</v>
      </c>
      <c r="D90" s="75" t="s">
        <v>30</v>
      </c>
      <c r="E90" s="16" t="s">
        <v>305</v>
      </c>
      <c r="F90" s="17">
        <v>40</v>
      </c>
      <c r="G90" s="75" t="s">
        <v>103</v>
      </c>
      <c r="H90" s="75" t="s">
        <v>104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7">
        <v>14787</v>
      </c>
      <c r="K90" s="38">
        <v>14787</v>
      </c>
      <c r="L90" s="36">
        <v>1.04</v>
      </c>
      <c r="M90" s="78">
        <f t="shared" si="17"/>
        <v>14218.26923076923</v>
      </c>
      <c r="N90" s="79">
        <f t="shared" si="18"/>
        <v>1.04</v>
      </c>
      <c r="O90" s="80">
        <f t="shared" si="13"/>
        <v>0</v>
      </c>
      <c r="P90" s="19">
        <v>1917</v>
      </c>
      <c r="Q90" s="19">
        <v>239</v>
      </c>
      <c r="R90" s="81">
        <f t="shared" si="14"/>
        <v>2156</v>
      </c>
      <c r="S90" s="82">
        <f t="shared" si="19"/>
        <v>1.5076923076923077</v>
      </c>
      <c r="T90" s="83" t="s">
        <v>159</v>
      </c>
      <c r="U90" s="83" t="s">
        <v>154</v>
      </c>
      <c r="V90" s="83" t="s">
        <v>157</v>
      </c>
      <c r="W90" s="113">
        <f t="shared" si="15"/>
        <v>45</v>
      </c>
      <c r="AA90" s="75" t="s">
        <v>104</v>
      </c>
      <c r="AB90" s="44">
        <v>0</v>
      </c>
    </row>
    <row r="91" spans="1:28" ht="15">
      <c r="A91" s="15">
        <f t="shared" si="16"/>
        <v>78</v>
      </c>
      <c r="B91" s="15" t="s">
        <v>306</v>
      </c>
      <c r="C91" s="16">
        <v>2021</v>
      </c>
      <c r="D91" s="75" t="s">
        <v>15</v>
      </c>
      <c r="E91" s="16" t="s">
        <v>262</v>
      </c>
      <c r="F91" s="17">
        <v>31</v>
      </c>
      <c r="G91" s="75" t="s">
        <v>119</v>
      </c>
      <c r="H91" s="75" t="s">
        <v>104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>
        <v>27987</v>
      </c>
      <c r="K91" s="37">
        <v>27987</v>
      </c>
      <c r="L91" s="35">
        <v>1</v>
      </c>
      <c r="M91" s="78">
        <f t="shared" si="17"/>
        <v>27987</v>
      </c>
      <c r="N91" s="79">
        <f t="shared" si="18"/>
        <v>1</v>
      </c>
      <c r="O91" s="80">
        <f t="shared" si="13"/>
        <v>0</v>
      </c>
      <c r="P91" s="19">
        <v>-3820</v>
      </c>
      <c r="Q91" s="19">
        <v>1556</v>
      </c>
      <c r="R91" s="81">
        <f t="shared" si="14"/>
        <v>-2264</v>
      </c>
      <c r="S91" s="82">
        <f t="shared" si="19"/>
        <v>-0.82659832436966107</v>
      </c>
      <c r="T91" s="83" t="s">
        <v>168</v>
      </c>
      <c r="U91" s="83" t="s">
        <v>154</v>
      </c>
      <c r="V91" s="83" t="s">
        <v>157</v>
      </c>
      <c r="W91" s="113">
        <f t="shared" si="15"/>
        <v>45</v>
      </c>
      <c r="AA91" s="75" t="s">
        <v>104</v>
      </c>
      <c r="AB91" s="44">
        <v>0</v>
      </c>
    </row>
    <row r="92" spans="1:28" ht="15">
      <c r="A92" s="15">
        <f t="shared" si="16"/>
        <v>79</v>
      </c>
      <c r="B92" s="15" t="s">
        <v>307</v>
      </c>
      <c r="C92" s="16">
        <v>2015</v>
      </c>
      <c r="D92" s="75" t="s">
        <v>17</v>
      </c>
      <c r="E92" s="16" t="s">
        <v>297</v>
      </c>
      <c r="F92" s="17">
        <v>19</v>
      </c>
      <c r="G92" s="75" t="s">
        <v>103</v>
      </c>
      <c r="H92" s="75" t="s">
        <v>104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12885</v>
      </c>
      <c r="K92" s="37">
        <v>14035</v>
      </c>
      <c r="L92" s="35">
        <v>0.98</v>
      </c>
      <c r="M92" s="78">
        <f t="shared" si="17"/>
        <v>13147.959183673469</v>
      </c>
      <c r="N92" s="79">
        <f t="shared" si="18"/>
        <v>1.0674660457896779</v>
      </c>
      <c r="O92" s="80">
        <f t="shared" si="13"/>
        <v>-1150</v>
      </c>
      <c r="P92" s="19">
        <v>5532</v>
      </c>
      <c r="Q92" s="19">
        <v>450</v>
      </c>
      <c r="R92" s="81">
        <f t="shared" si="14"/>
        <v>5982</v>
      </c>
      <c r="S92" s="82">
        <f t="shared" si="19"/>
        <v>13.329784534251067</v>
      </c>
      <c r="T92" s="83" t="s">
        <v>166</v>
      </c>
      <c r="U92" s="83" t="s">
        <v>153</v>
      </c>
      <c r="V92" s="83" t="s">
        <v>157</v>
      </c>
      <c r="W92" s="113">
        <f t="shared" si="15"/>
        <v>30</v>
      </c>
      <c r="AA92" s="75" t="s">
        <v>104</v>
      </c>
      <c r="AB92" s="44">
        <v>0</v>
      </c>
    </row>
    <row r="93" spans="1:28" ht="15">
      <c r="A93" s="15">
        <f t="shared" si="16"/>
        <v>80</v>
      </c>
      <c r="B93" s="15" t="s">
        <v>308</v>
      </c>
      <c r="C93" s="16">
        <v>2020</v>
      </c>
      <c r="D93" s="75" t="s">
        <v>17</v>
      </c>
      <c r="E93" s="16" t="s">
        <v>309</v>
      </c>
      <c r="F93" s="17">
        <v>31</v>
      </c>
      <c r="G93" s="75" t="s">
        <v>119</v>
      </c>
      <c r="H93" s="75" t="s">
        <v>108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7">
        <v>19787</v>
      </c>
      <c r="K93" s="37">
        <v>19787</v>
      </c>
      <c r="L93" s="35">
        <v>0.94</v>
      </c>
      <c r="M93" s="78">
        <f t="shared" si="17"/>
        <v>21050</v>
      </c>
      <c r="N93" s="79">
        <f t="shared" si="18"/>
        <v>0.94</v>
      </c>
      <c r="O93" s="80">
        <f t="shared" si="13"/>
        <v>0</v>
      </c>
      <c r="P93" s="19">
        <v>-4011</v>
      </c>
      <c r="Q93" s="19">
        <v>225</v>
      </c>
      <c r="R93" s="81">
        <f t="shared" si="14"/>
        <v>-3786</v>
      </c>
      <c r="S93" s="82">
        <f t="shared" si="19"/>
        <v>-1.8474851505548042</v>
      </c>
      <c r="T93" s="83" t="s">
        <v>162</v>
      </c>
      <c r="U93" s="83" t="s">
        <v>153</v>
      </c>
      <c r="V93" s="83" t="s">
        <v>155</v>
      </c>
      <c r="W93" s="113">
        <f t="shared" si="15"/>
        <v>45</v>
      </c>
      <c r="AA93" s="75" t="s">
        <v>108</v>
      </c>
      <c r="AB93" s="44">
        <v>-1000</v>
      </c>
    </row>
    <row r="94" spans="1:28" ht="15">
      <c r="A94" s="15">
        <f t="shared" si="16"/>
        <v>81</v>
      </c>
      <c r="B94" s="15" t="s">
        <v>310</v>
      </c>
      <c r="C94" s="16">
        <v>2020</v>
      </c>
      <c r="D94" s="75" t="s">
        <v>17</v>
      </c>
      <c r="E94" s="16" t="s">
        <v>309</v>
      </c>
      <c r="F94" s="17">
        <v>19</v>
      </c>
      <c r="G94" s="75" t="s">
        <v>110</v>
      </c>
      <c r="H94" s="75" t="s">
        <v>104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23727</v>
      </c>
      <c r="K94" s="38">
        <v>23727</v>
      </c>
      <c r="L94" s="36">
        <v>0.97</v>
      </c>
      <c r="M94" s="78">
        <f t="shared" si="17"/>
        <v>24460.824742268043</v>
      </c>
      <c r="N94" s="79">
        <f t="shared" si="18"/>
        <v>0.96999999999999986</v>
      </c>
      <c r="O94" s="80">
        <f t="shared" si="13"/>
        <v>0</v>
      </c>
      <c r="P94" s="19">
        <v>-2042</v>
      </c>
      <c r="Q94" s="19">
        <v>792</v>
      </c>
      <c r="R94" s="81">
        <f t="shared" si="14"/>
        <v>-1250</v>
      </c>
      <c r="S94" s="82">
        <f t="shared" si="19"/>
        <v>-0.91909699741223128</v>
      </c>
      <c r="T94" s="83" t="s">
        <v>171</v>
      </c>
      <c r="U94" s="83" t="s">
        <v>196</v>
      </c>
      <c r="V94" s="83" t="s">
        <v>157</v>
      </c>
      <c r="W94" s="113">
        <f t="shared" si="15"/>
        <v>30</v>
      </c>
      <c r="AA94" s="75" t="s">
        <v>104</v>
      </c>
      <c r="AB94" s="44">
        <v>-3000</v>
      </c>
    </row>
    <row r="95" spans="1:28" ht="15">
      <c r="A95" s="15">
        <f t="shared" si="16"/>
        <v>82</v>
      </c>
      <c r="B95" s="15" t="s">
        <v>282</v>
      </c>
      <c r="C95" s="16">
        <v>2023</v>
      </c>
      <c r="D95" s="75" t="s">
        <v>23</v>
      </c>
      <c r="E95" s="16" t="s">
        <v>311</v>
      </c>
      <c r="F95" s="17">
        <v>45</v>
      </c>
      <c r="G95" s="75" t="s">
        <v>103</v>
      </c>
      <c r="H95" s="75" t="s">
        <v>108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>
        <v>52987</v>
      </c>
      <c r="K95" s="37">
        <v>49863</v>
      </c>
      <c r="L95" s="35">
        <v>1</v>
      </c>
      <c r="M95" s="78">
        <f t="shared" si="17"/>
        <v>52987</v>
      </c>
      <c r="N95" s="79">
        <f t="shared" si="18"/>
        <v>0.94104214241228978</v>
      </c>
      <c r="O95" s="80">
        <f t="shared" si="13"/>
        <v>3124</v>
      </c>
      <c r="P95" s="19">
        <v>-2088</v>
      </c>
      <c r="Q95" s="19">
        <v>2068</v>
      </c>
      <c r="R95" s="81">
        <f t="shared" si="14"/>
        <v>-20</v>
      </c>
      <c r="S95" s="82">
        <f t="shared" si="19"/>
        <v>-3.0798252199187694E-3</v>
      </c>
      <c r="T95" s="83" t="s">
        <v>166</v>
      </c>
      <c r="U95" s="83" t="s">
        <v>153</v>
      </c>
      <c r="V95" s="83" t="s">
        <v>155</v>
      </c>
      <c r="W95" s="113">
        <f t="shared" si="15"/>
        <v>45</v>
      </c>
      <c r="AA95" s="75" t="s">
        <v>108</v>
      </c>
      <c r="AB95" s="44">
        <v>-400</v>
      </c>
    </row>
    <row r="96" spans="1:28" ht="15">
      <c r="A96" s="15">
        <f t="shared" si="16"/>
        <v>83</v>
      </c>
      <c r="B96" s="15" t="s">
        <v>312</v>
      </c>
      <c r="C96" s="16">
        <v>2016</v>
      </c>
      <c r="D96" s="75" t="s">
        <v>17</v>
      </c>
      <c r="E96" s="16" t="s">
        <v>309</v>
      </c>
      <c r="F96" s="17">
        <v>19</v>
      </c>
      <c r="G96" s="75" t="s">
        <v>103</v>
      </c>
      <c r="H96" s="75" t="s">
        <v>104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>
        <v>14413</v>
      </c>
      <c r="K96" s="38">
        <v>13116</v>
      </c>
      <c r="L96" s="36">
        <v>0.91</v>
      </c>
      <c r="M96" s="78">
        <f t="shared" si="17"/>
        <v>15838.461538461537</v>
      </c>
      <c r="N96" s="79">
        <f t="shared" si="18"/>
        <v>0.82811073336571162</v>
      </c>
      <c r="O96" s="80">
        <f t="shared" si="13"/>
        <v>1297</v>
      </c>
      <c r="P96" s="19">
        <v>2211</v>
      </c>
      <c r="Q96" s="19">
        <v>102</v>
      </c>
      <c r="R96" s="81">
        <f t="shared" si="14"/>
        <v>2313</v>
      </c>
      <c r="S96" s="82">
        <f t="shared" si="19"/>
        <v>4.0188228480416992</v>
      </c>
      <c r="T96" s="83" t="s">
        <v>160</v>
      </c>
      <c r="U96" s="83" t="s">
        <v>196</v>
      </c>
      <c r="V96" s="83" t="s">
        <v>156</v>
      </c>
      <c r="W96" s="113">
        <f t="shared" si="15"/>
        <v>30</v>
      </c>
      <c r="AA96" s="75" t="s">
        <v>104</v>
      </c>
      <c r="AB96" s="44">
        <v>0</v>
      </c>
    </row>
    <row r="97" spans="1:28" ht="15">
      <c r="A97" s="15">
        <f t="shared" si="16"/>
        <v>84</v>
      </c>
      <c r="B97" s="15" t="s">
        <v>313</v>
      </c>
      <c r="C97" s="16">
        <v>2018</v>
      </c>
      <c r="D97" s="75" t="s">
        <v>17</v>
      </c>
      <c r="E97" s="16" t="s">
        <v>309</v>
      </c>
      <c r="F97" s="17">
        <v>16</v>
      </c>
      <c r="G97" s="75" t="s">
        <v>103</v>
      </c>
      <c r="H97" s="75" t="s">
        <v>108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7">
        <v>17936</v>
      </c>
      <c r="K97" s="38">
        <v>17936</v>
      </c>
      <c r="L97" s="36">
        <v>0.95</v>
      </c>
      <c r="M97" s="78">
        <f t="shared" si="17"/>
        <v>18880</v>
      </c>
      <c r="N97" s="79">
        <f t="shared" si="18"/>
        <v>0.95</v>
      </c>
      <c r="O97" s="80">
        <f t="shared" si="13"/>
        <v>0</v>
      </c>
      <c r="P97" s="19">
        <v>-1669</v>
      </c>
      <c r="Q97" s="19">
        <v>1351</v>
      </c>
      <c r="R97" s="81">
        <f t="shared" si="14"/>
        <v>-318</v>
      </c>
      <c r="S97" s="82">
        <f t="shared" si="19"/>
        <v>-0.36495791889824025</v>
      </c>
      <c r="T97" s="83" t="s">
        <v>172</v>
      </c>
      <c r="U97" s="83" t="s">
        <v>153</v>
      </c>
      <c r="V97" s="83" t="s">
        <v>157</v>
      </c>
      <c r="W97" s="113">
        <f t="shared" si="15"/>
        <v>30</v>
      </c>
      <c r="AA97" s="75" t="s">
        <v>108</v>
      </c>
      <c r="AB97" s="44">
        <v>-1000</v>
      </c>
    </row>
    <row r="98" spans="1:28" ht="15">
      <c r="A98" s="15">
        <f t="shared" si="16"/>
        <v>85</v>
      </c>
      <c r="B98" s="15" t="s">
        <v>314</v>
      </c>
      <c r="C98" s="16">
        <v>2018</v>
      </c>
      <c r="D98" s="75" t="s">
        <v>19</v>
      </c>
      <c r="E98" s="16" t="s">
        <v>315</v>
      </c>
      <c r="F98" s="17">
        <v>28</v>
      </c>
      <c r="G98" s="75" t="s">
        <v>110</v>
      </c>
      <c r="H98" s="75" t="s">
        <v>104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No</v>
      </c>
      <c r="J98" s="37">
        <v>47898</v>
      </c>
      <c r="K98" s="37">
        <v>49987</v>
      </c>
      <c r="L98" s="35">
        <v>0.87</v>
      </c>
      <c r="M98" s="78">
        <f t="shared" si="17"/>
        <v>55055.172413793101</v>
      </c>
      <c r="N98" s="79">
        <f t="shared" si="18"/>
        <v>0.90794375548039585</v>
      </c>
      <c r="O98" s="80">
        <f t="shared" si="13"/>
        <v>-2089</v>
      </c>
      <c r="P98" s="19">
        <v>3512</v>
      </c>
      <c r="Q98" s="19">
        <v>3702</v>
      </c>
      <c r="R98" s="81">
        <f t="shared" si="14"/>
        <v>7214</v>
      </c>
      <c r="S98" s="82">
        <f t="shared" si="19"/>
        <v>1.9957273495735035</v>
      </c>
      <c r="T98" s="83" t="s">
        <v>160</v>
      </c>
      <c r="U98" s="83" t="s">
        <v>154</v>
      </c>
      <c r="V98" s="83" t="s">
        <v>155</v>
      </c>
      <c r="W98" s="113">
        <f t="shared" si="15"/>
        <v>30</v>
      </c>
      <c r="AA98" s="75" t="s">
        <v>104</v>
      </c>
      <c r="AB98" s="44">
        <v>0</v>
      </c>
    </row>
    <row r="99" spans="1:28" ht="15">
      <c r="A99" s="15">
        <f t="shared" si="16"/>
        <v>86</v>
      </c>
      <c r="B99" s="15" t="s">
        <v>316</v>
      </c>
      <c r="C99" s="16">
        <v>2021</v>
      </c>
      <c r="D99" s="75" t="s">
        <v>17</v>
      </c>
      <c r="E99" s="16" t="s">
        <v>317</v>
      </c>
      <c r="F99" s="17">
        <v>18</v>
      </c>
      <c r="G99" s="75" t="s">
        <v>112</v>
      </c>
      <c r="H99" s="75" t="s">
        <v>108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59277</v>
      </c>
      <c r="K99" s="38">
        <v>62277</v>
      </c>
      <c r="L99" s="36">
        <v>1.05</v>
      </c>
      <c r="M99" s="78">
        <f t="shared" si="17"/>
        <v>56454.28571428571</v>
      </c>
      <c r="N99" s="79">
        <f t="shared" si="18"/>
        <v>1.1031403411103802</v>
      </c>
      <c r="O99" s="80">
        <f t="shared" si="13"/>
        <v>-3000</v>
      </c>
      <c r="P99" s="19">
        <v>2201</v>
      </c>
      <c r="Q99" s="19">
        <v>1723</v>
      </c>
      <c r="R99" s="81">
        <f t="shared" si="14"/>
        <v>3924</v>
      </c>
      <c r="S99" s="82">
        <f t="shared" si="19"/>
        <v>1.3063452959584527</v>
      </c>
      <c r="T99" s="83" t="s">
        <v>161</v>
      </c>
      <c r="U99" s="83" t="s">
        <v>154</v>
      </c>
      <c r="V99" s="83" t="s">
        <v>155</v>
      </c>
      <c r="W99" s="113">
        <f t="shared" si="15"/>
        <v>30</v>
      </c>
      <c r="AA99" s="75" t="s">
        <v>108</v>
      </c>
      <c r="AB99" s="44">
        <v>-3500</v>
      </c>
    </row>
    <row r="100" spans="1:28" ht="15">
      <c r="A100" s="15">
        <f t="shared" si="16"/>
        <v>87</v>
      </c>
      <c r="B100" s="15" t="s">
        <v>318</v>
      </c>
      <c r="C100" s="16">
        <v>2021</v>
      </c>
      <c r="D100" s="75" t="s">
        <v>15</v>
      </c>
      <c r="E100" s="16" t="s">
        <v>202</v>
      </c>
      <c r="F100" s="17">
        <v>46</v>
      </c>
      <c r="G100" s="75" t="s">
        <v>112</v>
      </c>
      <c r="H100" s="75" t="s">
        <v>108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>
        <v>30476</v>
      </c>
      <c r="K100" s="38">
        <v>28127</v>
      </c>
      <c r="L100" s="36">
        <v>0.97</v>
      </c>
      <c r="M100" s="78">
        <f t="shared" si="17"/>
        <v>31418.556701030928</v>
      </c>
      <c r="N100" s="79">
        <f t="shared" si="18"/>
        <v>0.89523526709541934</v>
      </c>
      <c r="O100" s="80">
        <f t="shared" si="13"/>
        <v>2349</v>
      </c>
      <c r="P100" s="19">
        <v>-3297</v>
      </c>
      <c r="Q100" s="19">
        <v>4539</v>
      </c>
      <c r="R100" s="81">
        <f t="shared" si="14"/>
        <v>1242</v>
      </c>
      <c r="S100" s="82">
        <f t="shared" si="19"/>
        <v>0.30931771894093685</v>
      </c>
      <c r="T100" s="83" t="s">
        <v>160</v>
      </c>
      <c r="U100" s="83" t="s">
        <v>154</v>
      </c>
      <c r="V100" s="83" t="s">
        <v>155</v>
      </c>
      <c r="W100" s="113">
        <f t="shared" si="15"/>
        <v>60</v>
      </c>
      <c r="AA100" s="75" t="s">
        <v>104</v>
      </c>
      <c r="AB100" s="44">
        <v>0</v>
      </c>
    </row>
    <row r="101" spans="1:28" ht="15">
      <c r="A101" s="15">
        <f t="shared" si="16"/>
        <v>88</v>
      </c>
      <c r="B101" s="15" t="s">
        <v>319</v>
      </c>
      <c r="C101" s="16">
        <v>2021</v>
      </c>
      <c r="D101" s="75" t="s">
        <v>23</v>
      </c>
      <c r="E101" s="16" t="s">
        <v>320</v>
      </c>
      <c r="F101" s="17">
        <v>50</v>
      </c>
      <c r="G101" s="75" t="s">
        <v>110</v>
      </c>
      <c r="H101" s="75" t="s">
        <v>104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7">
        <v>37487</v>
      </c>
      <c r="K101" s="38">
        <v>38487</v>
      </c>
      <c r="L101" s="36">
        <v>0.9</v>
      </c>
      <c r="M101" s="78">
        <f t="shared" si="17"/>
        <v>41652.222222222219</v>
      </c>
      <c r="N101" s="79">
        <f t="shared" si="18"/>
        <v>0.92400832288526702</v>
      </c>
      <c r="O101" s="80">
        <f t="shared" si="13"/>
        <v>-1000</v>
      </c>
      <c r="P101" s="19">
        <v>15</v>
      </c>
      <c r="Q101" s="19">
        <v>4092</v>
      </c>
      <c r="R101" s="81">
        <f t="shared" si="14"/>
        <v>4107</v>
      </c>
      <c r="S101" s="82">
        <f t="shared" si="19"/>
        <v>0.7686213349968809</v>
      </c>
      <c r="T101" s="83" t="s">
        <v>171</v>
      </c>
      <c r="U101" s="83" t="s">
        <v>154</v>
      </c>
      <c r="V101" s="83" t="s">
        <v>155</v>
      </c>
      <c r="W101" s="113">
        <f t="shared" si="15"/>
        <v>60</v>
      </c>
      <c r="AA101" s="75" t="s">
        <v>104</v>
      </c>
      <c r="AB101" s="44">
        <v>0</v>
      </c>
    </row>
    <row r="102" spans="1:28" ht="15">
      <c r="A102" s="15">
        <f t="shared" si="16"/>
        <v>89</v>
      </c>
      <c r="B102" s="15" t="s">
        <v>321</v>
      </c>
      <c r="C102" s="16">
        <v>2020</v>
      </c>
      <c r="D102" s="75" t="s">
        <v>21</v>
      </c>
      <c r="E102" s="16" t="s">
        <v>291</v>
      </c>
      <c r="F102" s="17">
        <v>31</v>
      </c>
      <c r="G102" s="75" t="s">
        <v>110</v>
      </c>
      <c r="H102" s="75" t="s">
        <v>104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7">
        <v>48203</v>
      </c>
      <c r="K102" s="37">
        <v>48203</v>
      </c>
      <c r="L102" s="35">
        <v>1</v>
      </c>
      <c r="M102" s="78">
        <f t="shared" si="17"/>
        <v>48203</v>
      </c>
      <c r="N102" s="79">
        <f t="shared" si="18"/>
        <v>1</v>
      </c>
      <c r="O102" s="80">
        <f t="shared" si="13"/>
        <v>0</v>
      </c>
      <c r="P102" s="19">
        <v>3068</v>
      </c>
      <c r="Q102" s="19">
        <v>1195</v>
      </c>
      <c r="R102" s="81">
        <f t="shared" si="14"/>
        <v>4263</v>
      </c>
      <c r="S102" s="82">
        <f t="shared" si="19"/>
        <v>1.0968385167079406</v>
      </c>
      <c r="T102" s="83" t="s">
        <v>166</v>
      </c>
      <c r="U102" s="83" t="s">
        <v>196</v>
      </c>
      <c r="V102" s="83" t="s">
        <v>155</v>
      </c>
      <c r="W102" s="113">
        <f t="shared" si="15"/>
        <v>45</v>
      </c>
      <c r="AA102" s="75" t="s">
        <v>108</v>
      </c>
      <c r="AB102" s="44">
        <v>0</v>
      </c>
    </row>
    <row r="103" spans="1:28" ht="15">
      <c r="A103" s="15">
        <f t="shared" si="16"/>
        <v>90</v>
      </c>
      <c r="B103" s="15" t="s">
        <v>322</v>
      </c>
      <c r="C103" s="16">
        <v>2015</v>
      </c>
      <c r="D103" s="75" t="s">
        <v>23</v>
      </c>
      <c r="E103" s="16" t="s">
        <v>191</v>
      </c>
      <c r="F103" s="17">
        <v>17</v>
      </c>
      <c r="G103" s="75" t="s">
        <v>103</v>
      </c>
      <c r="H103" s="75" t="s">
        <v>104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32299</v>
      </c>
      <c r="K103" s="38">
        <v>32299</v>
      </c>
      <c r="L103" s="36">
        <v>0.99</v>
      </c>
      <c r="M103" s="78">
        <f t="shared" si="17"/>
        <v>32625.252525252527</v>
      </c>
      <c r="N103" s="79">
        <f t="shared" si="18"/>
        <v>0.99</v>
      </c>
      <c r="O103" s="80">
        <f t="shared" si="13"/>
        <v>0</v>
      </c>
      <c r="P103" s="19">
        <v>5439</v>
      </c>
      <c r="Q103" s="19">
        <v>2072</v>
      </c>
      <c r="R103" s="81">
        <f t="shared" si="14"/>
        <v>7511</v>
      </c>
      <c r="S103" s="82">
        <f t="shared" si="19"/>
        <v>5.9216854277079403</v>
      </c>
      <c r="T103" s="83" t="s">
        <v>160</v>
      </c>
      <c r="U103" s="83" t="s">
        <v>153</v>
      </c>
      <c r="V103" s="83" t="s">
        <v>157</v>
      </c>
      <c r="W103" s="113">
        <f t="shared" si="15"/>
        <v>30</v>
      </c>
      <c r="AA103" s="75" t="s">
        <v>104</v>
      </c>
      <c r="AB103" s="44">
        <v>0</v>
      </c>
    </row>
    <row r="104" spans="1:28" ht="15">
      <c r="A104" s="15">
        <f t="shared" si="16"/>
        <v>91</v>
      </c>
      <c r="B104" s="15" t="s">
        <v>323</v>
      </c>
      <c r="C104" s="16">
        <v>2021</v>
      </c>
      <c r="D104" s="75" t="s">
        <v>23</v>
      </c>
      <c r="E104" s="16" t="s">
        <v>225</v>
      </c>
      <c r="F104" s="17">
        <v>12</v>
      </c>
      <c r="G104" s="75" t="s">
        <v>103</v>
      </c>
      <c r="H104" s="75" t="s">
        <v>104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>
        <v>36879</v>
      </c>
      <c r="K104" s="37">
        <v>37000</v>
      </c>
      <c r="L104" s="35">
        <v>1.01</v>
      </c>
      <c r="M104" s="78">
        <f t="shared" si="17"/>
        <v>36513.861386138611</v>
      </c>
      <c r="N104" s="79">
        <f t="shared" si="18"/>
        <v>1.0133138100273869</v>
      </c>
      <c r="O104" s="80">
        <f t="shared" si="13"/>
        <v>-121</v>
      </c>
      <c r="P104" s="19">
        <v>2163</v>
      </c>
      <c r="Q104" s="19">
        <v>2963</v>
      </c>
      <c r="R104" s="81">
        <f t="shared" si="14"/>
        <v>5126</v>
      </c>
      <c r="S104" s="82">
        <f t="shared" si="19"/>
        <v>4.4142721818755923</v>
      </c>
      <c r="T104" s="83" t="s">
        <v>168</v>
      </c>
      <c r="U104" s="83" t="s">
        <v>196</v>
      </c>
      <c r="V104" s="83" t="s">
        <v>155</v>
      </c>
      <c r="W104" s="113">
        <f t="shared" si="15"/>
        <v>30</v>
      </c>
      <c r="AA104" s="75" t="s">
        <v>104</v>
      </c>
      <c r="AB104" s="44">
        <v>0</v>
      </c>
    </row>
    <row r="105" spans="1:28" ht="15">
      <c r="A105" s="15">
        <f t="shared" si="16"/>
        <v>92</v>
      </c>
      <c r="B105" s="15" t="s">
        <v>324</v>
      </c>
      <c r="C105" s="16">
        <v>2018</v>
      </c>
      <c r="D105" s="75" t="s">
        <v>17</v>
      </c>
      <c r="E105" s="16" t="s">
        <v>204</v>
      </c>
      <c r="F105" s="17">
        <v>6</v>
      </c>
      <c r="G105" s="75" t="s">
        <v>103</v>
      </c>
      <c r="H105" s="75" t="s">
        <v>104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>
        <v>34987</v>
      </c>
      <c r="K105" s="37">
        <v>34000</v>
      </c>
      <c r="L105" s="35">
        <v>1.01</v>
      </c>
      <c r="M105" s="78">
        <f t="shared" si="17"/>
        <v>34640.594059405943</v>
      </c>
      <c r="N105" s="79">
        <f t="shared" si="18"/>
        <v>0.98150741704061506</v>
      </c>
      <c r="O105" s="80">
        <f t="shared" si="13"/>
        <v>987</v>
      </c>
      <c r="P105" s="19">
        <v>3211</v>
      </c>
      <c r="Q105" s="19">
        <v>1533</v>
      </c>
      <c r="R105" s="81">
        <f t="shared" si="14"/>
        <v>4744</v>
      </c>
      <c r="S105" s="82">
        <f t="shared" si="19"/>
        <v>9.2448601773360615</v>
      </c>
      <c r="T105" s="83" t="s">
        <v>163</v>
      </c>
      <c r="U105" s="83" t="s">
        <v>154</v>
      </c>
      <c r="V105" s="83" t="s">
        <v>155</v>
      </c>
      <c r="W105" s="113">
        <f t="shared" si="15"/>
        <v>30</v>
      </c>
      <c r="AA105" s="75" t="s">
        <v>104</v>
      </c>
      <c r="AB105" s="44">
        <v>0</v>
      </c>
    </row>
    <row r="106" spans="1:28" ht="15">
      <c r="A106" s="15">
        <f t="shared" si="16"/>
        <v>93</v>
      </c>
      <c r="B106" s="15" t="s">
        <v>325</v>
      </c>
      <c r="C106" s="16">
        <v>2019</v>
      </c>
      <c r="D106" s="75" t="s">
        <v>15</v>
      </c>
      <c r="E106" s="16" t="s">
        <v>326</v>
      </c>
      <c r="F106" s="17">
        <v>21</v>
      </c>
      <c r="G106" s="75" t="s">
        <v>110</v>
      </c>
      <c r="H106" s="75" t="s">
        <v>104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>
        <v>17989</v>
      </c>
      <c r="K106" s="37">
        <v>17989</v>
      </c>
      <c r="L106" s="35">
        <v>0.91</v>
      </c>
      <c r="M106" s="78">
        <f t="shared" si="17"/>
        <v>19768.131868131866</v>
      </c>
      <c r="N106" s="79">
        <f t="shared" si="18"/>
        <v>0.91000000000000014</v>
      </c>
      <c r="O106" s="80">
        <f t="shared" si="13"/>
        <v>0</v>
      </c>
      <c r="P106" s="19">
        <v>-2632</v>
      </c>
      <c r="Q106" s="19">
        <v>2765</v>
      </c>
      <c r="R106" s="81">
        <f t="shared" si="14"/>
        <v>133</v>
      </c>
      <c r="S106" s="82">
        <f t="shared" si="19"/>
        <v>0.11056689782260802</v>
      </c>
      <c r="T106" s="83" t="s">
        <v>168</v>
      </c>
      <c r="U106" s="83" t="s">
        <v>154</v>
      </c>
      <c r="V106" s="83" t="s">
        <v>157</v>
      </c>
      <c r="W106" s="113">
        <f t="shared" si="15"/>
        <v>30</v>
      </c>
      <c r="AA106" s="75" t="s">
        <v>108</v>
      </c>
      <c r="AB106" s="44">
        <v>-3000</v>
      </c>
    </row>
    <row r="107" spans="1:28" ht="15">
      <c r="A107" s="15">
        <f t="shared" si="16"/>
        <v>94</v>
      </c>
      <c r="B107" s="15" t="s">
        <v>327</v>
      </c>
      <c r="C107" s="16">
        <v>2020</v>
      </c>
      <c r="D107" s="75" t="s">
        <v>17</v>
      </c>
      <c r="E107" s="16" t="s">
        <v>328</v>
      </c>
      <c r="F107" s="17">
        <v>41</v>
      </c>
      <c r="G107" s="75" t="s">
        <v>103</v>
      </c>
      <c r="H107" s="75" t="s">
        <v>104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7">
        <v>53987</v>
      </c>
      <c r="K107" s="37">
        <v>53987</v>
      </c>
      <c r="L107" s="35">
        <v>0.96</v>
      </c>
      <c r="M107" s="78">
        <f t="shared" si="17"/>
        <v>56236.458333333336</v>
      </c>
      <c r="N107" s="79">
        <f t="shared" si="18"/>
        <v>0.96</v>
      </c>
      <c r="O107" s="80">
        <f t="shared" si="13"/>
        <v>0</v>
      </c>
      <c r="P107" s="19">
        <v>1505</v>
      </c>
      <c r="Q107" s="19">
        <v>2750</v>
      </c>
      <c r="R107" s="81">
        <f t="shared" si="14"/>
        <v>4255</v>
      </c>
      <c r="S107" s="82">
        <f t="shared" si="19"/>
        <v>0.71188170438924014</v>
      </c>
      <c r="T107" s="83" t="s">
        <v>170</v>
      </c>
      <c r="U107" s="83" t="s">
        <v>154</v>
      </c>
      <c r="V107" s="83" t="s">
        <v>157</v>
      </c>
      <c r="W107" s="113">
        <f t="shared" si="15"/>
        <v>45</v>
      </c>
      <c r="AA107" s="75" t="s">
        <v>104</v>
      </c>
      <c r="AB107" s="44">
        <v>0</v>
      </c>
    </row>
    <row r="108" spans="1:28" ht="15">
      <c r="A108" s="15">
        <f t="shared" si="16"/>
        <v>95</v>
      </c>
      <c r="B108" s="15" t="s">
        <v>329</v>
      </c>
      <c r="C108" s="16">
        <v>2021</v>
      </c>
      <c r="D108" s="75" t="s">
        <v>15</v>
      </c>
      <c r="E108" s="16" t="s">
        <v>301</v>
      </c>
      <c r="F108" s="17">
        <v>21</v>
      </c>
      <c r="G108" s="75" t="s">
        <v>103</v>
      </c>
      <c r="H108" s="75" t="s">
        <v>108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>
        <v>23337</v>
      </c>
      <c r="K108" s="37">
        <v>23533</v>
      </c>
      <c r="L108" s="35">
        <v>0.97</v>
      </c>
      <c r="M108" s="78">
        <f t="shared" si="17"/>
        <v>24058.762886597939</v>
      </c>
      <c r="N108" s="79">
        <f t="shared" si="18"/>
        <v>0.97814671980117407</v>
      </c>
      <c r="O108" s="80">
        <f t="shared" si="13"/>
        <v>-196</v>
      </c>
      <c r="P108" s="19">
        <v>1916</v>
      </c>
      <c r="Q108" s="19">
        <v>2279</v>
      </c>
      <c r="R108" s="81">
        <f t="shared" si="14"/>
        <v>4195</v>
      </c>
      <c r="S108" s="82">
        <f t="shared" si="19"/>
        <v>3.3267468064155854</v>
      </c>
      <c r="T108" s="83" t="s">
        <v>158</v>
      </c>
      <c r="U108" s="83" t="s">
        <v>154</v>
      </c>
      <c r="V108" s="83" t="s">
        <v>155</v>
      </c>
      <c r="W108" s="113">
        <f t="shared" si="15"/>
        <v>30</v>
      </c>
      <c r="AA108" s="75" t="s">
        <v>108</v>
      </c>
      <c r="AB108" s="44">
        <v>1000</v>
      </c>
    </row>
    <row r="109" spans="1:28" ht="15">
      <c r="A109" s="15">
        <f t="shared" si="16"/>
        <v>96</v>
      </c>
      <c r="B109" s="15" t="s">
        <v>330</v>
      </c>
      <c r="C109" s="16">
        <v>2018</v>
      </c>
      <c r="D109" s="75" t="s">
        <v>16</v>
      </c>
      <c r="E109" s="16" t="s">
        <v>174</v>
      </c>
      <c r="F109" s="17">
        <v>32</v>
      </c>
      <c r="G109" s="75" t="s">
        <v>110</v>
      </c>
      <c r="H109" s="75" t="s">
        <v>104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7">
        <v>21729</v>
      </c>
      <c r="K109" s="37">
        <v>21000</v>
      </c>
      <c r="L109" s="35">
        <v>0.97</v>
      </c>
      <c r="M109" s="78">
        <f t="shared" si="17"/>
        <v>22401.030927835051</v>
      </c>
      <c r="N109" s="79">
        <f t="shared" si="18"/>
        <v>0.9374568548943808</v>
      </c>
      <c r="O109" s="80">
        <f t="shared" si="13"/>
        <v>729</v>
      </c>
      <c r="P109" s="19">
        <v>907</v>
      </c>
      <c r="Q109" s="19">
        <v>1313</v>
      </c>
      <c r="R109" s="81">
        <f t="shared" si="14"/>
        <v>2220</v>
      </c>
      <c r="S109" s="82">
        <f t="shared" si="19"/>
        <v>1.2429701886229036</v>
      </c>
      <c r="T109" s="83" t="s">
        <v>171</v>
      </c>
      <c r="U109" s="83" t="s">
        <v>153</v>
      </c>
      <c r="V109" s="83" t="s">
        <v>157</v>
      </c>
      <c r="W109" s="113">
        <f t="shared" ref="W109:W140" si="20">IF(AND(F109&gt;0,F109&lt;=30),30,IF(AND(F109&gt;=31,F109&lt;=45),45,IF(AND(F109&gt;=46,F109&lt;=60),60,IF(AND(F109&gt;=61,F109&lt;=90),90,IF(F109&gt;=91,91,0)))))</f>
        <v>45</v>
      </c>
      <c r="AA109" s="75" t="s">
        <v>104</v>
      </c>
      <c r="AB109" s="44">
        <v>0</v>
      </c>
    </row>
    <row r="110" spans="1:28" ht="15">
      <c r="A110" s="15">
        <f t="shared" si="16"/>
        <v>97</v>
      </c>
      <c r="B110" s="15" t="s">
        <v>331</v>
      </c>
      <c r="C110" s="16">
        <v>2020</v>
      </c>
      <c r="D110" s="75" t="s">
        <v>17</v>
      </c>
      <c r="E110" s="16" t="s">
        <v>270</v>
      </c>
      <c r="F110" s="17">
        <v>8</v>
      </c>
      <c r="G110" s="75" t="s">
        <v>103</v>
      </c>
      <c r="H110" s="75" t="s">
        <v>104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>
        <v>25987</v>
      </c>
      <c r="K110" s="37">
        <v>25987</v>
      </c>
      <c r="L110" s="35">
        <v>0.99</v>
      </c>
      <c r="M110" s="78">
        <f t="shared" si="17"/>
        <v>26249.494949494951</v>
      </c>
      <c r="N110" s="79">
        <f t="shared" si="18"/>
        <v>0.99</v>
      </c>
      <c r="O110" s="80">
        <f t="shared" si="13"/>
        <v>0</v>
      </c>
      <c r="P110" s="19">
        <v>-633</v>
      </c>
      <c r="Q110" s="19">
        <v>463</v>
      </c>
      <c r="R110" s="81">
        <f t="shared" si="14"/>
        <v>-170</v>
      </c>
      <c r="S110" s="82">
        <f t="shared" si="19"/>
        <v>-0.28737791134485352</v>
      </c>
      <c r="T110" s="83" t="s">
        <v>169</v>
      </c>
      <c r="U110" s="83" t="s">
        <v>196</v>
      </c>
      <c r="V110" s="83" t="s">
        <v>156</v>
      </c>
      <c r="W110" s="113">
        <f t="shared" si="20"/>
        <v>30</v>
      </c>
      <c r="AA110" s="75" t="s">
        <v>108</v>
      </c>
      <c r="AB110" s="44">
        <v>-999</v>
      </c>
    </row>
    <row r="111" spans="1:28" ht="15">
      <c r="A111" s="15">
        <f t="shared" si="16"/>
        <v>98</v>
      </c>
      <c r="B111" s="15" t="s">
        <v>332</v>
      </c>
      <c r="C111" s="16">
        <v>2020</v>
      </c>
      <c r="D111" s="75" t="s">
        <v>23</v>
      </c>
      <c r="E111" s="16" t="s">
        <v>333</v>
      </c>
      <c r="F111" s="17">
        <v>34</v>
      </c>
      <c r="G111" s="75" t="s">
        <v>112</v>
      </c>
      <c r="H111" s="75" t="s">
        <v>104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>
        <v>63524</v>
      </c>
      <c r="K111" s="37">
        <v>60000</v>
      </c>
      <c r="L111" s="35">
        <v>0.97</v>
      </c>
      <c r="M111" s="78">
        <f t="shared" si="17"/>
        <v>65488.659793814433</v>
      </c>
      <c r="N111" s="79">
        <f t="shared" si="18"/>
        <v>0.9161891568541024</v>
      </c>
      <c r="O111" s="80">
        <f t="shared" si="13"/>
        <v>3524</v>
      </c>
      <c r="P111" s="19">
        <v>4712</v>
      </c>
      <c r="Q111" s="19">
        <v>3595</v>
      </c>
      <c r="R111" s="81">
        <f t="shared" si="14"/>
        <v>8307</v>
      </c>
      <c r="S111" s="82">
        <f t="shared" si="19"/>
        <v>1.5908781397090741</v>
      </c>
      <c r="T111" s="83" t="s">
        <v>158</v>
      </c>
      <c r="U111" s="83" t="s">
        <v>196</v>
      </c>
      <c r="V111" s="83" t="s">
        <v>156</v>
      </c>
      <c r="W111" s="113">
        <f t="shared" si="20"/>
        <v>45</v>
      </c>
      <c r="AA111" s="75" t="s">
        <v>108</v>
      </c>
      <c r="AB111" s="44">
        <v>0</v>
      </c>
    </row>
    <row r="112" spans="1:28" ht="15">
      <c r="A112" s="15">
        <f t="shared" si="16"/>
        <v>99</v>
      </c>
      <c r="B112" s="15" t="s">
        <v>334</v>
      </c>
      <c r="C112" s="16">
        <v>2014</v>
      </c>
      <c r="D112" s="75" t="s">
        <v>17</v>
      </c>
      <c r="E112" s="16" t="s">
        <v>335</v>
      </c>
      <c r="F112" s="17">
        <v>12</v>
      </c>
      <c r="G112" s="75" t="s">
        <v>110</v>
      </c>
      <c r="H112" s="75" t="s">
        <v>104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9800</v>
      </c>
      <c r="K112" s="37">
        <v>11055</v>
      </c>
      <c r="L112" s="35">
        <v>1</v>
      </c>
      <c r="M112" s="78">
        <f t="shared" si="17"/>
        <v>9800</v>
      </c>
      <c r="N112" s="79">
        <f t="shared" si="18"/>
        <v>1.1280612244897958</v>
      </c>
      <c r="O112" s="80">
        <f t="shared" si="13"/>
        <v>-1255</v>
      </c>
      <c r="P112" s="19">
        <v>1462</v>
      </c>
      <c r="Q112" s="19">
        <v>0</v>
      </c>
      <c r="R112" s="81">
        <f t="shared" si="14"/>
        <v>1462</v>
      </c>
      <c r="S112" s="82">
        <f t="shared" si="19"/>
        <v>4.5720838111122699</v>
      </c>
      <c r="T112" s="83" t="s">
        <v>161</v>
      </c>
      <c r="U112" s="83" t="s">
        <v>196</v>
      </c>
      <c r="V112" s="83" t="s">
        <v>156</v>
      </c>
      <c r="W112" s="113">
        <f t="shared" si="20"/>
        <v>30</v>
      </c>
      <c r="AA112" s="75" t="s">
        <v>104</v>
      </c>
      <c r="AB112" s="44">
        <v>0</v>
      </c>
    </row>
    <row r="113" spans="1:28" ht="15">
      <c r="A113" s="15">
        <f t="shared" si="16"/>
        <v>100</v>
      </c>
      <c r="B113" s="15" t="s">
        <v>336</v>
      </c>
      <c r="C113" s="16">
        <v>2016</v>
      </c>
      <c r="D113" s="75" t="s">
        <v>43</v>
      </c>
      <c r="E113" s="16" t="s">
        <v>337</v>
      </c>
      <c r="F113" s="17">
        <v>33</v>
      </c>
      <c r="G113" s="75" t="s">
        <v>103</v>
      </c>
      <c r="H113" s="75" t="s">
        <v>104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7">
        <v>13933</v>
      </c>
      <c r="K113" s="37">
        <v>15933</v>
      </c>
      <c r="L113" s="35">
        <v>0.92</v>
      </c>
      <c r="M113" s="78">
        <f t="shared" si="17"/>
        <v>15144.565217391304</v>
      </c>
      <c r="N113" s="79">
        <f t="shared" si="18"/>
        <v>1.0520605756118568</v>
      </c>
      <c r="O113" s="80">
        <f t="shared" si="13"/>
        <v>-2000</v>
      </c>
      <c r="P113" s="19">
        <v>-36</v>
      </c>
      <c r="Q113" s="19">
        <v>1328</v>
      </c>
      <c r="R113" s="81">
        <f t="shared" si="14"/>
        <v>1292</v>
      </c>
      <c r="S113" s="82">
        <f t="shared" si="19"/>
        <v>0.88261916554232911</v>
      </c>
      <c r="T113" s="83" t="s">
        <v>159</v>
      </c>
      <c r="U113" s="83" t="s">
        <v>153</v>
      </c>
      <c r="V113" s="83" t="s">
        <v>155</v>
      </c>
      <c r="W113" s="113">
        <f t="shared" si="20"/>
        <v>45</v>
      </c>
      <c r="AA113" s="75" t="s">
        <v>104</v>
      </c>
      <c r="AB113" s="44">
        <v>0</v>
      </c>
    </row>
    <row r="114" spans="1:28" ht="15">
      <c r="A114" s="15">
        <f t="shared" si="16"/>
        <v>101</v>
      </c>
      <c r="B114" s="15" t="s">
        <v>338</v>
      </c>
      <c r="C114" s="16">
        <v>2018</v>
      </c>
      <c r="D114" s="75" t="s">
        <v>29</v>
      </c>
      <c r="E114" s="16" t="s">
        <v>339</v>
      </c>
      <c r="F114" s="17">
        <v>37</v>
      </c>
      <c r="G114" s="75" t="s">
        <v>103</v>
      </c>
      <c r="H114" s="75" t="s">
        <v>104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7">
        <v>21799</v>
      </c>
      <c r="K114" s="37">
        <v>19800</v>
      </c>
      <c r="L114" s="35">
        <v>0.97</v>
      </c>
      <c r="M114" s="78">
        <f t="shared" si="17"/>
        <v>22473.195876288661</v>
      </c>
      <c r="N114" s="79">
        <f t="shared" si="18"/>
        <v>0.88104958943070777</v>
      </c>
      <c r="O114" s="80">
        <f t="shared" si="13"/>
        <v>1999</v>
      </c>
      <c r="P114" s="19">
        <v>-775</v>
      </c>
      <c r="Q114" s="19">
        <v>2625</v>
      </c>
      <c r="R114" s="81">
        <f t="shared" si="14"/>
        <v>1850</v>
      </c>
      <c r="S114" s="82">
        <f t="shared" si="19"/>
        <v>0.87484811664641549</v>
      </c>
      <c r="T114" s="83" t="s">
        <v>172</v>
      </c>
      <c r="U114" s="83" t="s">
        <v>196</v>
      </c>
      <c r="V114" s="83" t="s">
        <v>157</v>
      </c>
      <c r="W114" s="113">
        <f t="shared" si="20"/>
        <v>45</v>
      </c>
      <c r="AA114" s="75" t="s">
        <v>104</v>
      </c>
      <c r="AB114" s="44">
        <v>0</v>
      </c>
    </row>
    <row r="115" spans="1:28" ht="15">
      <c r="A115" s="15">
        <f t="shared" si="16"/>
        <v>102</v>
      </c>
      <c r="B115" s="15" t="s">
        <v>340</v>
      </c>
      <c r="C115" s="16">
        <v>2020</v>
      </c>
      <c r="D115" s="75" t="s">
        <v>30</v>
      </c>
      <c r="E115" s="16" t="s">
        <v>341</v>
      </c>
      <c r="F115" s="17">
        <v>43</v>
      </c>
      <c r="G115" s="75" t="s">
        <v>103</v>
      </c>
      <c r="H115" s="75" t="s">
        <v>104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No</v>
      </c>
      <c r="J115" s="37">
        <v>22892</v>
      </c>
      <c r="K115" s="37">
        <v>22892</v>
      </c>
      <c r="L115" s="35">
        <v>0.92</v>
      </c>
      <c r="M115" s="78">
        <f t="shared" si="17"/>
        <v>24882.608695652172</v>
      </c>
      <c r="N115" s="79">
        <f t="shared" si="18"/>
        <v>0.92</v>
      </c>
      <c r="O115" s="80">
        <f t="shared" si="13"/>
        <v>0</v>
      </c>
      <c r="P115" s="19">
        <v>-305</v>
      </c>
      <c r="Q115" s="19">
        <v>0</v>
      </c>
      <c r="R115" s="81">
        <f t="shared" si="14"/>
        <v>-305</v>
      </c>
      <c r="S115" s="82">
        <f t="shared" si="19"/>
        <v>-0.11007838824386876</v>
      </c>
      <c r="T115" s="83" t="s">
        <v>160</v>
      </c>
      <c r="U115" s="83" t="s">
        <v>153</v>
      </c>
      <c r="V115" s="83" t="s">
        <v>156</v>
      </c>
      <c r="W115" s="113">
        <f t="shared" si="20"/>
        <v>45</v>
      </c>
      <c r="AA115" s="75" t="s">
        <v>104</v>
      </c>
      <c r="AB115" s="44">
        <v>0</v>
      </c>
    </row>
    <row r="116" spans="1:28" ht="15">
      <c r="A116" s="15">
        <f t="shared" si="16"/>
        <v>103</v>
      </c>
      <c r="B116" s="15" t="s">
        <v>342</v>
      </c>
      <c r="C116" s="16">
        <v>2017</v>
      </c>
      <c r="D116" s="75" t="s">
        <v>17</v>
      </c>
      <c r="E116" s="16" t="s">
        <v>343</v>
      </c>
      <c r="F116" s="17">
        <v>62</v>
      </c>
      <c r="G116" s="75" t="s">
        <v>103</v>
      </c>
      <c r="H116" s="75" t="s">
        <v>104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7">
        <v>22787</v>
      </c>
      <c r="K116" s="37">
        <v>21446.51</v>
      </c>
      <c r="L116" s="35">
        <v>0.8</v>
      </c>
      <c r="M116" s="78">
        <f t="shared" si="17"/>
        <v>28483.75</v>
      </c>
      <c r="N116" s="79">
        <f t="shared" si="18"/>
        <v>0.75293842980646852</v>
      </c>
      <c r="O116" s="80">
        <f t="shared" si="13"/>
        <v>1340.4900000000016</v>
      </c>
      <c r="P116" s="19">
        <v>-3581</v>
      </c>
      <c r="Q116" s="19">
        <v>0</v>
      </c>
      <c r="R116" s="81">
        <f t="shared" si="14"/>
        <v>-3581</v>
      </c>
      <c r="S116" s="82">
        <f t="shared" si="19"/>
        <v>-0.83080191460542629</v>
      </c>
      <c r="T116" s="83" t="s">
        <v>168</v>
      </c>
      <c r="U116" s="83" t="s">
        <v>153</v>
      </c>
      <c r="V116" s="83" t="s">
        <v>156</v>
      </c>
      <c r="W116" s="113">
        <f t="shared" si="20"/>
        <v>90</v>
      </c>
      <c r="AA116" s="75" t="s">
        <v>104</v>
      </c>
      <c r="AB116" s="44">
        <v>0</v>
      </c>
    </row>
    <row r="117" spans="1:28" ht="15">
      <c r="A117" s="15">
        <f t="shared" si="16"/>
        <v>104</v>
      </c>
      <c r="B117" s="15" t="s">
        <v>344</v>
      </c>
      <c r="C117" s="16">
        <v>2018</v>
      </c>
      <c r="D117" s="75" t="s">
        <v>23</v>
      </c>
      <c r="E117" s="16" t="s">
        <v>320</v>
      </c>
      <c r="F117" s="17">
        <v>4</v>
      </c>
      <c r="G117" s="75" t="s">
        <v>103</v>
      </c>
      <c r="H117" s="75" t="s">
        <v>104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7">
        <v>35487</v>
      </c>
      <c r="K117" s="37">
        <v>35487</v>
      </c>
      <c r="L117" s="35">
        <v>0.99</v>
      </c>
      <c r="M117" s="78">
        <f t="shared" si="17"/>
        <v>35845.454545454544</v>
      </c>
      <c r="N117" s="79">
        <f t="shared" si="18"/>
        <v>0.99</v>
      </c>
      <c r="O117" s="80">
        <f t="shared" si="13"/>
        <v>0</v>
      </c>
      <c r="P117" s="19">
        <v>3117</v>
      </c>
      <c r="Q117" s="19">
        <v>2707</v>
      </c>
      <c r="R117" s="81">
        <f t="shared" si="14"/>
        <v>5824</v>
      </c>
      <c r="S117" s="82">
        <f t="shared" si="19"/>
        <v>16.192771084337352</v>
      </c>
      <c r="T117" s="83" t="s">
        <v>166</v>
      </c>
      <c r="U117" s="83" t="s">
        <v>154</v>
      </c>
      <c r="V117" s="83" t="s">
        <v>156</v>
      </c>
      <c r="W117" s="113">
        <f t="shared" si="20"/>
        <v>30</v>
      </c>
      <c r="AA117" s="75" t="s">
        <v>108</v>
      </c>
      <c r="AB117" s="44">
        <v>-1396</v>
      </c>
    </row>
    <row r="118" spans="1:28" ht="15">
      <c r="A118" s="15">
        <f t="shared" si="16"/>
        <v>105</v>
      </c>
      <c r="B118" s="15" t="s">
        <v>345</v>
      </c>
      <c r="C118" s="16">
        <v>2019</v>
      </c>
      <c r="D118" s="75" t="s">
        <v>17</v>
      </c>
      <c r="E118" s="16" t="s">
        <v>270</v>
      </c>
      <c r="F118" s="17">
        <v>18</v>
      </c>
      <c r="G118" s="75" t="s">
        <v>103</v>
      </c>
      <c r="H118" s="75" t="s">
        <v>104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Yes</v>
      </c>
      <c r="J118" s="37">
        <v>32371</v>
      </c>
      <c r="K118" s="37">
        <v>32371</v>
      </c>
      <c r="L118" s="35">
        <v>0.99</v>
      </c>
      <c r="M118" s="78">
        <f t="shared" si="17"/>
        <v>32697.979797979799</v>
      </c>
      <c r="N118" s="79">
        <f t="shared" si="18"/>
        <v>0.99</v>
      </c>
      <c r="O118" s="80">
        <f t="shared" si="13"/>
        <v>0</v>
      </c>
      <c r="P118" s="19">
        <v>2315</v>
      </c>
      <c r="Q118" s="19">
        <v>4513</v>
      </c>
      <c r="R118" s="81">
        <f t="shared" si="14"/>
        <v>6828</v>
      </c>
      <c r="S118" s="82">
        <f t="shared" si="19"/>
        <v>4.5435187649720525</v>
      </c>
      <c r="T118" s="83" t="s">
        <v>165</v>
      </c>
      <c r="U118" s="83" t="s">
        <v>153</v>
      </c>
      <c r="V118" s="83" t="s">
        <v>157</v>
      </c>
      <c r="W118" s="113">
        <f t="shared" si="20"/>
        <v>30</v>
      </c>
      <c r="AA118" s="75" t="s">
        <v>108</v>
      </c>
      <c r="AB118" s="44">
        <v>1000</v>
      </c>
    </row>
    <row r="119" spans="1:28" ht="15">
      <c r="A119" s="15">
        <f t="shared" si="16"/>
        <v>106</v>
      </c>
      <c r="B119" s="15" t="s">
        <v>346</v>
      </c>
      <c r="C119" s="16">
        <v>2022</v>
      </c>
      <c r="D119" s="75" t="s">
        <v>17</v>
      </c>
      <c r="E119" s="16" t="s">
        <v>347</v>
      </c>
      <c r="F119" s="17">
        <v>29</v>
      </c>
      <c r="G119" s="75" t="s">
        <v>103</v>
      </c>
      <c r="H119" s="75" t="s">
        <v>104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7">
        <v>22422</v>
      </c>
      <c r="K119" s="37">
        <v>22050</v>
      </c>
      <c r="L119" s="35">
        <v>0.97</v>
      </c>
      <c r="M119" s="78">
        <f t="shared" si="17"/>
        <v>23115.463917525773</v>
      </c>
      <c r="N119" s="79">
        <f t="shared" si="18"/>
        <v>0.95390687717420397</v>
      </c>
      <c r="O119" s="80">
        <f t="shared" si="13"/>
        <v>372</v>
      </c>
      <c r="P119" s="19">
        <v>1228</v>
      </c>
      <c r="Q119" s="19">
        <v>0</v>
      </c>
      <c r="R119" s="81">
        <f t="shared" si="14"/>
        <v>1228</v>
      </c>
      <c r="S119" s="82">
        <f t="shared" si="19"/>
        <v>0.73211689227905496</v>
      </c>
      <c r="T119" s="83" t="s">
        <v>159</v>
      </c>
      <c r="U119" s="83" t="s">
        <v>153</v>
      </c>
      <c r="V119" s="83" t="s">
        <v>157</v>
      </c>
      <c r="W119" s="113">
        <f t="shared" si="20"/>
        <v>30</v>
      </c>
      <c r="AA119" s="75" t="s">
        <v>104</v>
      </c>
      <c r="AB119" s="44">
        <v>0</v>
      </c>
    </row>
    <row r="120" spans="1:28" ht="15">
      <c r="A120" s="15">
        <f t="shared" si="16"/>
        <v>107</v>
      </c>
      <c r="B120" s="15" t="s">
        <v>348</v>
      </c>
      <c r="C120" s="16">
        <v>2021</v>
      </c>
      <c r="D120" s="75" t="s">
        <v>19</v>
      </c>
      <c r="E120" s="16" t="s">
        <v>349</v>
      </c>
      <c r="F120" s="17">
        <v>62</v>
      </c>
      <c r="G120" s="75" t="s">
        <v>103</v>
      </c>
      <c r="H120" s="75" t="s">
        <v>104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No</v>
      </c>
      <c r="J120" s="37">
        <v>55987</v>
      </c>
      <c r="K120" s="37">
        <v>55987</v>
      </c>
      <c r="L120" s="35">
        <v>0.94</v>
      </c>
      <c r="M120" s="78">
        <f t="shared" si="17"/>
        <v>59560.638297872341</v>
      </c>
      <c r="N120" s="79">
        <f t="shared" si="18"/>
        <v>0.94</v>
      </c>
      <c r="O120" s="80">
        <f t="shared" si="13"/>
        <v>0</v>
      </c>
      <c r="P120" s="19">
        <v>-2725</v>
      </c>
      <c r="Q120" s="19">
        <v>342</v>
      </c>
      <c r="R120" s="81">
        <f t="shared" si="14"/>
        <v>-2383</v>
      </c>
      <c r="S120" s="82">
        <f t="shared" si="19"/>
        <v>-0.23567199539358882</v>
      </c>
      <c r="T120" s="83" t="s">
        <v>170</v>
      </c>
      <c r="U120" s="83" t="s">
        <v>154</v>
      </c>
      <c r="V120" s="83" t="s">
        <v>157</v>
      </c>
      <c r="W120" s="113">
        <f t="shared" si="20"/>
        <v>90</v>
      </c>
      <c r="AA120" s="75" t="s">
        <v>104</v>
      </c>
      <c r="AB120" s="44">
        <v>0</v>
      </c>
    </row>
    <row r="121" spans="1:28" ht="15">
      <c r="A121" s="15">
        <f t="shared" si="16"/>
        <v>108</v>
      </c>
      <c r="B121" s="15" t="s">
        <v>350</v>
      </c>
      <c r="C121" s="16">
        <v>2017</v>
      </c>
      <c r="D121" s="75" t="s">
        <v>17</v>
      </c>
      <c r="E121" s="16" t="s">
        <v>204</v>
      </c>
      <c r="F121" s="17">
        <v>17</v>
      </c>
      <c r="G121" s="75" t="s">
        <v>110</v>
      </c>
      <c r="H121" s="75" t="s">
        <v>104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37">
        <v>33877</v>
      </c>
      <c r="K121" s="37">
        <v>33877</v>
      </c>
      <c r="L121" s="35">
        <v>1</v>
      </c>
      <c r="M121" s="78">
        <f t="shared" si="17"/>
        <v>33877</v>
      </c>
      <c r="N121" s="79">
        <f t="shared" si="18"/>
        <v>1</v>
      </c>
      <c r="O121" s="80">
        <f t="shared" si="13"/>
        <v>0</v>
      </c>
      <c r="P121" s="19">
        <v>2229</v>
      </c>
      <c r="Q121" s="19">
        <v>1964</v>
      </c>
      <c r="R121" s="81">
        <f t="shared" si="14"/>
        <v>4193</v>
      </c>
      <c r="S121" s="82">
        <f t="shared" si="19"/>
        <v>2.8056414679117352</v>
      </c>
      <c r="T121" s="83" t="s">
        <v>169</v>
      </c>
      <c r="U121" s="83" t="s">
        <v>153</v>
      </c>
      <c r="V121" s="83" t="s">
        <v>157</v>
      </c>
      <c r="W121" s="113">
        <f t="shared" si="20"/>
        <v>30</v>
      </c>
      <c r="AA121" s="75" t="s">
        <v>108</v>
      </c>
      <c r="AB121" s="44">
        <v>-200</v>
      </c>
    </row>
    <row r="122" spans="1:28" ht="15">
      <c r="A122" s="15">
        <f t="shared" si="16"/>
        <v>109</v>
      </c>
      <c r="B122" s="15" t="s">
        <v>351</v>
      </c>
      <c r="C122" s="16">
        <v>2018</v>
      </c>
      <c r="D122" s="75" t="s">
        <v>23</v>
      </c>
      <c r="E122" s="16" t="s">
        <v>191</v>
      </c>
      <c r="F122" s="17">
        <v>25</v>
      </c>
      <c r="G122" s="75" t="s">
        <v>110</v>
      </c>
      <c r="H122" s="75" t="s">
        <v>104</v>
      </c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7">
        <v>36987</v>
      </c>
      <c r="K122" s="37">
        <v>34572</v>
      </c>
      <c r="L122" s="35">
        <v>0.97</v>
      </c>
      <c r="M122" s="78">
        <f t="shared" si="17"/>
        <v>38130.927835051545</v>
      </c>
      <c r="N122" s="79">
        <f t="shared" si="18"/>
        <v>0.9066655852056128</v>
      </c>
      <c r="O122" s="80">
        <f t="shared" si="13"/>
        <v>2415</v>
      </c>
      <c r="P122" s="19">
        <v>1270</v>
      </c>
      <c r="Q122" s="19">
        <v>0</v>
      </c>
      <c r="R122" s="81">
        <f t="shared" si="14"/>
        <v>1270</v>
      </c>
      <c r="S122" s="82">
        <f t="shared" si="19"/>
        <v>0.54915620683442445</v>
      </c>
      <c r="T122" s="83" t="s">
        <v>165</v>
      </c>
      <c r="U122" s="83" t="s">
        <v>153</v>
      </c>
      <c r="V122" s="83" t="s">
        <v>157</v>
      </c>
      <c r="W122" s="113">
        <f t="shared" si="20"/>
        <v>30</v>
      </c>
      <c r="AA122" s="75" t="s">
        <v>104</v>
      </c>
      <c r="AB122" s="44">
        <v>0</v>
      </c>
    </row>
    <row r="123" spans="1:28" ht="15">
      <c r="A123" s="15">
        <f t="shared" si="16"/>
        <v>110</v>
      </c>
      <c r="B123" s="15" t="s">
        <v>352</v>
      </c>
      <c r="C123" s="16">
        <v>2022</v>
      </c>
      <c r="D123" s="75" t="s">
        <v>17</v>
      </c>
      <c r="E123" s="16" t="s">
        <v>353</v>
      </c>
      <c r="F123" s="17">
        <v>89</v>
      </c>
      <c r="G123" s="75" t="s">
        <v>110</v>
      </c>
      <c r="H123" s="75" t="s">
        <v>108</v>
      </c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37">
        <v>23487</v>
      </c>
      <c r="K123" s="37">
        <v>22987</v>
      </c>
      <c r="L123" s="35">
        <v>0.84</v>
      </c>
      <c r="M123" s="78">
        <f t="shared" si="17"/>
        <v>27960.714285714286</v>
      </c>
      <c r="N123" s="79">
        <f t="shared" si="18"/>
        <v>0.82211776727551411</v>
      </c>
      <c r="O123" s="80">
        <f t="shared" si="13"/>
        <v>500</v>
      </c>
      <c r="P123" s="19">
        <v>-2866</v>
      </c>
      <c r="Q123" s="19">
        <v>2119</v>
      </c>
      <c r="R123" s="81">
        <f t="shared" si="14"/>
        <v>-747</v>
      </c>
      <c r="S123" s="82">
        <f t="shared" si="19"/>
        <v>-0.11687514151966368</v>
      </c>
      <c r="T123" s="83" t="s">
        <v>169</v>
      </c>
      <c r="U123" s="83" t="s">
        <v>153</v>
      </c>
      <c r="V123" s="83" t="s">
        <v>157</v>
      </c>
      <c r="W123" s="113">
        <f t="shared" si="20"/>
        <v>90</v>
      </c>
      <c r="AA123" s="75" t="s">
        <v>104</v>
      </c>
      <c r="AB123" s="44">
        <v>0</v>
      </c>
    </row>
    <row r="124" spans="1:28" ht="15">
      <c r="A124" s="15">
        <f t="shared" si="16"/>
        <v>111</v>
      </c>
      <c r="B124" s="15" t="s">
        <v>354</v>
      </c>
      <c r="C124" s="16">
        <v>2020</v>
      </c>
      <c r="D124" s="75" t="s">
        <v>43</v>
      </c>
      <c r="E124" s="16" t="s">
        <v>337</v>
      </c>
      <c r="F124" s="17">
        <v>25</v>
      </c>
      <c r="G124" s="75" t="s">
        <v>110</v>
      </c>
      <c r="H124" s="75" t="s">
        <v>104</v>
      </c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No</v>
      </c>
      <c r="J124" s="37">
        <v>17587</v>
      </c>
      <c r="K124" s="37">
        <v>18587</v>
      </c>
      <c r="L124" s="35">
        <v>0.92</v>
      </c>
      <c r="M124" s="78">
        <f t="shared" si="17"/>
        <v>19116.304347826088</v>
      </c>
      <c r="N124" s="79">
        <f t="shared" si="18"/>
        <v>0.97231136635014492</v>
      </c>
      <c r="O124" s="80">
        <f t="shared" si="13"/>
        <v>-1000</v>
      </c>
      <c r="P124" s="19">
        <v>3634</v>
      </c>
      <c r="Q124" s="19">
        <v>4041</v>
      </c>
      <c r="R124" s="81">
        <f t="shared" si="14"/>
        <v>7675</v>
      </c>
      <c r="S124" s="82">
        <f t="shared" si="19"/>
        <v>7.3911589647562366</v>
      </c>
      <c r="T124" s="83" t="s">
        <v>161</v>
      </c>
      <c r="U124" s="83" t="s">
        <v>154</v>
      </c>
      <c r="V124" s="83" t="s">
        <v>155</v>
      </c>
      <c r="W124" s="113">
        <f t="shared" si="20"/>
        <v>30</v>
      </c>
      <c r="AA124" s="75" t="s">
        <v>104</v>
      </c>
      <c r="AB124" s="44">
        <v>0</v>
      </c>
    </row>
    <row r="125" spans="1:28" ht="15">
      <c r="A125" s="15">
        <f t="shared" si="16"/>
        <v>112</v>
      </c>
      <c r="B125" s="15" t="s">
        <v>355</v>
      </c>
      <c r="C125" s="16">
        <v>2020</v>
      </c>
      <c r="D125" s="75" t="s">
        <v>17</v>
      </c>
      <c r="E125" s="16" t="s">
        <v>102</v>
      </c>
      <c r="F125" s="17">
        <v>18</v>
      </c>
      <c r="G125" s="75" t="s">
        <v>112</v>
      </c>
      <c r="H125" s="75" t="s">
        <v>104</v>
      </c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37">
        <v>23987</v>
      </c>
      <c r="K125" s="38">
        <v>23987</v>
      </c>
      <c r="L125" s="36">
        <v>1</v>
      </c>
      <c r="M125" s="78">
        <f t="shared" si="17"/>
        <v>23987</v>
      </c>
      <c r="N125" s="79">
        <f t="shared" si="18"/>
        <v>1</v>
      </c>
      <c r="O125" s="80">
        <f t="shared" si="13"/>
        <v>0</v>
      </c>
      <c r="P125" s="19">
        <v>3318</v>
      </c>
      <c r="Q125" s="19">
        <v>2292</v>
      </c>
      <c r="R125" s="81">
        <f t="shared" si="14"/>
        <v>5610</v>
      </c>
      <c r="S125" s="82">
        <f t="shared" si="19"/>
        <v>5.4284193720063865</v>
      </c>
      <c r="T125" s="83" t="s">
        <v>161</v>
      </c>
      <c r="U125" s="83" t="s">
        <v>196</v>
      </c>
      <c r="V125" s="83" t="s">
        <v>155</v>
      </c>
      <c r="W125" s="113">
        <f t="shared" si="20"/>
        <v>30</v>
      </c>
      <c r="AA125" s="75" t="s">
        <v>108</v>
      </c>
      <c r="AB125" s="44">
        <v>0</v>
      </c>
    </row>
    <row r="126" spans="1:28" ht="15">
      <c r="A126" s="15">
        <f t="shared" si="16"/>
        <v>113</v>
      </c>
      <c r="B126" s="15" t="s">
        <v>356</v>
      </c>
      <c r="C126" s="16">
        <v>2019</v>
      </c>
      <c r="D126" s="75" t="s">
        <v>34</v>
      </c>
      <c r="E126" s="16" t="s">
        <v>357</v>
      </c>
      <c r="F126" s="17">
        <v>19</v>
      </c>
      <c r="G126" s="75" t="s">
        <v>110</v>
      </c>
      <c r="H126" s="75" t="s">
        <v>104</v>
      </c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No</v>
      </c>
      <c r="J126" s="37">
        <v>48057</v>
      </c>
      <c r="K126" s="38">
        <v>48405</v>
      </c>
      <c r="L126" s="36">
        <v>1</v>
      </c>
      <c r="M126" s="78">
        <f t="shared" si="17"/>
        <v>48057</v>
      </c>
      <c r="N126" s="79">
        <f t="shared" si="18"/>
        <v>1.0072414008365067</v>
      </c>
      <c r="O126" s="80">
        <f t="shared" si="13"/>
        <v>-348</v>
      </c>
      <c r="P126" s="19">
        <v>6302</v>
      </c>
      <c r="Q126" s="19">
        <v>122</v>
      </c>
      <c r="R126" s="81">
        <f t="shared" si="14"/>
        <v>6424</v>
      </c>
      <c r="S126" s="82">
        <f t="shared" si="19"/>
        <v>2.8909553888521509</v>
      </c>
      <c r="T126" s="83" t="s">
        <v>166</v>
      </c>
      <c r="U126" s="83" t="s">
        <v>196</v>
      </c>
      <c r="V126" s="83" t="s">
        <v>156</v>
      </c>
      <c r="W126" s="113">
        <f t="shared" si="20"/>
        <v>30</v>
      </c>
      <c r="AA126" s="75" t="s">
        <v>104</v>
      </c>
      <c r="AB126" s="44">
        <v>0</v>
      </c>
    </row>
    <row r="127" spans="1:28" ht="15">
      <c r="A127" s="15">
        <f t="shared" si="16"/>
        <v>114</v>
      </c>
      <c r="B127" s="15" t="s">
        <v>358</v>
      </c>
      <c r="C127" s="16">
        <v>2014</v>
      </c>
      <c r="D127" s="75" t="s">
        <v>17</v>
      </c>
      <c r="E127" s="16" t="s">
        <v>309</v>
      </c>
      <c r="F127" s="17">
        <v>6</v>
      </c>
      <c r="G127" s="75" t="s">
        <v>103</v>
      </c>
      <c r="H127" s="75" t="s">
        <v>104</v>
      </c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Yes</v>
      </c>
      <c r="J127" s="37">
        <v>17096</v>
      </c>
      <c r="K127" s="38">
        <v>18096</v>
      </c>
      <c r="L127" s="36">
        <v>0.98</v>
      </c>
      <c r="M127" s="78">
        <f t="shared" si="17"/>
        <v>17444.897959183672</v>
      </c>
      <c r="N127" s="79">
        <f t="shared" si="18"/>
        <v>1.0373233504913431</v>
      </c>
      <c r="O127" s="80">
        <f t="shared" si="13"/>
        <v>-1000</v>
      </c>
      <c r="P127" s="19">
        <v>5047</v>
      </c>
      <c r="Q127" s="19">
        <v>1287</v>
      </c>
      <c r="R127" s="81">
        <f t="shared" si="14"/>
        <v>6334</v>
      </c>
      <c r="S127" s="82">
        <f t="shared" si="19"/>
        <v>29.124070810023756</v>
      </c>
      <c r="T127" s="83" t="s">
        <v>166</v>
      </c>
      <c r="U127" s="83" t="s">
        <v>153</v>
      </c>
      <c r="V127" s="83" t="s">
        <v>157</v>
      </c>
      <c r="W127" s="113">
        <f t="shared" si="20"/>
        <v>30</v>
      </c>
      <c r="AA127" s="75" t="s">
        <v>104</v>
      </c>
      <c r="AB127" s="44">
        <v>0</v>
      </c>
    </row>
    <row r="128" spans="1:28" ht="15">
      <c r="A128" s="15">
        <f t="shared" si="16"/>
        <v>115</v>
      </c>
      <c r="B128" s="15" t="s">
        <v>359</v>
      </c>
      <c r="C128" s="16">
        <v>2016</v>
      </c>
      <c r="D128" s="75" t="s">
        <v>17</v>
      </c>
      <c r="E128" s="16" t="s">
        <v>269</v>
      </c>
      <c r="F128" s="17">
        <v>56</v>
      </c>
      <c r="G128" s="75" t="s">
        <v>103</v>
      </c>
      <c r="H128" s="75" t="s">
        <v>104</v>
      </c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Yes</v>
      </c>
      <c r="J128" s="37">
        <v>23787</v>
      </c>
      <c r="K128" s="38">
        <v>22000</v>
      </c>
      <c r="L128" s="36">
        <v>0.9</v>
      </c>
      <c r="M128" s="78">
        <f t="shared" si="17"/>
        <v>26430</v>
      </c>
      <c r="N128" s="79">
        <f t="shared" si="18"/>
        <v>0.83238743851683694</v>
      </c>
      <c r="O128" s="80">
        <f t="shared" si="13"/>
        <v>1787</v>
      </c>
      <c r="P128" s="19">
        <v>-2487</v>
      </c>
      <c r="Q128" s="19">
        <v>0</v>
      </c>
      <c r="R128" s="81">
        <f t="shared" si="14"/>
        <v>-2487</v>
      </c>
      <c r="S128" s="82">
        <f t="shared" si="19"/>
        <v>-0.6529120407913237</v>
      </c>
      <c r="T128" s="83" t="s">
        <v>159</v>
      </c>
      <c r="U128" s="83" t="s">
        <v>153</v>
      </c>
      <c r="V128" s="83" t="s">
        <v>156</v>
      </c>
      <c r="W128" s="113">
        <f t="shared" si="20"/>
        <v>60</v>
      </c>
      <c r="AA128" s="75" t="s">
        <v>108</v>
      </c>
      <c r="AB128" s="44">
        <v>0</v>
      </c>
    </row>
    <row r="129" spans="1:28" ht="15">
      <c r="A129" s="15">
        <f t="shared" si="16"/>
        <v>116</v>
      </c>
      <c r="B129" s="15" t="s">
        <v>360</v>
      </c>
      <c r="C129" s="16">
        <v>2020</v>
      </c>
      <c r="D129" s="75" t="s">
        <v>23</v>
      </c>
      <c r="E129" s="16" t="s">
        <v>216</v>
      </c>
      <c r="F129" s="17">
        <v>33</v>
      </c>
      <c r="G129" s="75" t="s">
        <v>103</v>
      </c>
      <c r="H129" s="75" t="s">
        <v>104</v>
      </c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Yes</v>
      </c>
      <c r="J129" s="37">
        <v>21873</v>
      </c>
      <c r="K129" s="37">
        <v>21873</v>
      </c>
      <c r="L129" s="35">
        <v>0.96</v>
      </c>
      <c r="M129" s="78">
        <f t="shared" si="17"/>
        <v>22784.375</v>
      </c>
      <c r="N129" s="79">
        <f t="shared" si="18"/>
        <v>0.96</v>
      </c>
      <c r="O129" s="80">
        <f t="shared" si="13"/>
        <v>0</v>
      </c>
      <c r="P129" s="19">
        <v>2956</v>
      </c>
      <c r="Q129" s="19">
        <v>1949</v>
      </c>
      <c r="R129" s="81">
        <f t="shared" si="14"/>
        <v>4905</v>
      </c>
      <c r="S129" s="82">
        <f t="shared" si="19"/>
        <v>2.8286245656864675</v>
      </c>
      <c r="T129" s="83" t="s">
        <v>172</v>
      </c>
      <c r="U129" s="83" t="s">
        <v>154</v>
      </c>
      <c r="V129" s="83" t="s">
        <v>155</v>
      </c>
      <c r="W129" s="113">
        <f t="shared" si="20"/>
        <v>45</v>
      </c>
      <c r="AA129" s="75" t="s">
        <v>108</v>
      </c>
      <c r="AB129" s="44">
        <v>0</v>
      </c>
    </row>
    <row r="130" spans="1:28" ht="15">
      <c r="A130" s="15">
        <f t="shared" si="16"/>
        <v>117</v>
      </c>
      <c r="B130" s="15" t="s">
        <v>361</v>
      </c>
      <c r="C130" s="16">
        <v>2016</v>
      </c>
      <c r="D130" s="75" t="s">
        <v>17</v>
      </c>
      <c r="E130" s="16" t="s">
        <v>309</v>
      </c>
      <c r="F130" s="17">
        <v>42</v>
      </c>
      <c r="G130" s="75" t="s">
        <v>103</v>
      </c>
      <c r="H130" s="75" t="s">
        <v>104</v>
      </c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Yes</v>
      </c>
      <c r="J130" s="37">
        <v>16351</v>
      </c>
      <c r="K130" s="38">
        <v>17115</v>
      </c>
      <c r="L130" s="36">
        <v>0.84</v>
      </c>
      <c r="M130" s="78">
        <f t="shared" si="17"/>
        <v>19465.476190476191</v>
      </c>
      <c r="N130" s="79">
        <f t="shared" si="18"/>
        <v>0.87924897559782278</v>
      </c>
      <c r="O130" s="80">
        <f t="shared" si="13"/>
        <v>-764</v>
      </c>
      <c r="P130" s="19">
        <v>-134</v>
      </c>
      <c r="Q130" s="19">
        <v>0</v>
      </c>
      <c r="R130" s="81">
        <f t="shared" si="14"/>
        <v>-134</v>
      </c>
      <c r="S130" s="82">
        <f t="shared" si="19"/>
        <v>-6.6587711088841595E-2</v>
      </c>
      <c r="T130" s="83" t="s">
        <v>166</v>
      </c>
      <c r="U130" s="83" t="s">
        <v>196</v>
      </c>
      <c r="V130" s="83" t="s">
        <v>155</v>
      </c>
      <c r="W130" s="113">
        <f t="shared" si="20"/>
        <v>45</v>
      </c>
      <c r="AA130" s="75" t="s">
        <v>108</v>
      </c>
      <c r="AB130" s="44">
        <v>0</v>
      </c>
    </row>
    <row r="131" spans="1:28" ht="15">
      <c r="A131" s="15">
        <f t="shared" si="16"/>
        <v>118</v>
      </c>
      <c r="B131" s="15" t="s">
        <v>362</v>
      </c>
      <c r="C131" s="16">
        <v>2020</v>
      </c>
      <c r="D131" s="75" t="s">
        <v>15</v>
      </c>
      <c r="E131" s="16" t="s">
        <v>363</v>
      </c>
      <c r="F131" s="17">
        <v>38</v>
      </c>
      <c r="G131" s="75" t="s">
        <v>103</v>
      </c>
      <c r="H131" s="75" t="s">
        <v>104</v>
      </c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Yes</v>
      </c>
      <c r="J131" s="37">
        <v>22493</v>
      </c>
      <c r="K131" s="38">
        <v>21815</v>
      </c>
      <c r="L131" s="36">
        <v>0.96</v>
      </c>
      <c r="M131" s="78">
        <f t="shared" si="17"/>
        <v>23430.208333333336</v>
      </c>
      <c r="N131" s="79">
        <f t="shared" si="18"/>
        <v>0.93106299737696163</v>
      </c>
      <c r="O131" s="80">
        <f t="shared" si="13"/>
        <v>678</v>
      </c>
      <c r="P131" s="19">
        <v>-3346</v>
      </c>
      <c r="Q131" s="19">
        <v>0</v>
      </c>
      <c r="R131" s="81">
        <f t="shared" si="14"/>
        <v>-3346</v>
      </c>
      <c r="S131" s="82">
        <f t="shared" si="19"/>
        <v>-1.2598444961814337</v>
      </c>
      <c r="T131" s="83" t="s">
        <v>166</v>
      </c>
      <c r="U131" s="83" t="s">
        <v>154</v>
      </c>
      <c r="V131" s="83" t="s">
        <v>156</v>
      </c>
      <c r="W131" s="113">
        <f t="shared" si="20"/>
        <v>45</v>
      </c>
      <c r="AA131" s="75" t="s">
        <v>104</v>
      </c>
      <c r="AB131" s="44">
        <v>0</v>
      </c>
    </row>
    <row r="132" spans="1:28" ht="15">
      <c r="A132" s="15">
        <f t="shared" si="16"/>
        <v>119</v>
      </c>
      <c r="B132" s="15" t="s">
        <v>364</v>
      </c>
      <c r="C132" s="16">
        <v>2015</v>
      </c>
      <c r="D132" s="75" t="s">
        <v>24</v>
      </c>
      <c r="E132" s="16" t="s">
        <v>365</v>
      </c>
      <c r="F132" s="17">
        <v>20</v>
      </c>
      <c r="G132" s="75" t="s">
        <v>103</v>
      </c>
      <c r="H132" s="75" t="s">
        <v>104</v>
      </c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No</v>
      </c>
      <c r="J132" s="37">
        <v>15987</v>
      </c>
      <c r="K132" s="38">
        <v>15987</v>
      </c>
      <c r="L132" s="36">
        <v>0.93</v>
      </c>
      <c r="M132" s="78">
        <f t="shared" si="17"/>
        <v>17190.322580645159</v>
      </c>
      <c r="N132" s="79">
        <f t="shared" si="18"/>
        <v>0.93000000000000016</v>
      </c>
      <c r="O132" s="80">
        <f t="shared" si="13"/>
        <v>0</v>
      </c>
      <c r="P132" s="19">
        <v>1212</v>
      </c>
      <c r="Q132" s="19">
        <v>2404</v>
      </c>
      <c r="R132" s="81">
        <f t="shared" si="14"/>
        <v>3616</v>
      </c>
      <c r="S132" s="82">
        <f t="shared" si="19"/>
        <v>4.4052791878172588</v>
      </c>
      <c r="T132" s="83" t="s">
        <v>162</v>
      </c>
      <c r="U132" s="83" t="s">
        <v>153</v>
      </c>
      <c r="V132" s="83" t="s">
        <v>155</v>
      </c>
      <c r="W132" s="113">
        <f t="shared" si="20"/>
        <v>30</v>
      </c>
      <c r="AA132" s="75" t="s">
        <v>104</v>
      </c>
      <c r="AB132" s="44">
        <v>0</v>
      </c>
    </row>
    <row r="133" spans="1:28" ht="15">
      <c r="A133" s="15">
        <f t="shared" si="16"/>
        <v>120</v>
      </c>
      <c r="B133" s="15" t="s">
        <v>366</v>
      </c>
      <c r="C133" s="16">
        <v>2021</v>
      </c>
      <c r="D133" s="75" t="s">
        <v>17</v>
      </c>
      <c r="E133" s="16" t="s">
        <v>317</v>
      </c>
      <c r="F133" s="17">
        <v>16</v>
      </c>
      <c r="G133" s="75" t="s">
        <v>112</v>
      </c>
      <c r="H133" s="75" t="s">
        <v>108</v>
      </c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Yes</v>
      </c>
      <c r="J133" s="37">
        <v>49787</v>
      </c>
      <c r="K133" s="37">
        <v>49787</v>
      </c>
      <c r="L133" s="35">
        <v>1.01</v>
      </c>
      <c r="M133" s="78">
        <f t="shared" si="17"/>
        <v>49294.059405940592</v>
      </c>
      <c r="N133" s="79">
        <f t="shared" si="18"/>
        <v>1.01</v>
      </c>
      <c r="O133" s="80">
        <f t="shared" si="13"/>
        <v>0</v>
      </c>
      <c r="P133" s="19">
        <v>-2904</v>
      </c>
      <c r="Q133" s="19">
        <v>1708</v>
      </c>
      <c r="R133" s="81">
        <f t="shared" si="14"/>
        <v>-1196</v>
      </c>
      <c r="S133" s="82">
        <f t="shared" si="19"/>
        <v>-0.5107134045662447</v>
      </c>
      <c r="T133" s="83" t="s">
        <v>160</v>
      </c>
      <c r="U133" s="83" t="s">
        <v>154</v>
      </c>
      <c r="V133" s="83" t="s">
        <v>157</v>
      </c>
      <c r="W133" s="113">
        <f t="shared" si="20"/>
        <v>30</v>
      </c>
      <c r="AA133" s="75" t="s">
        <v>108</v>
      </c>
      <c r="AB133" s="44">
        <v>-6000</v>
      </c>
    </row>
    <row r="134" spans="1:28" ht="15">
      <c r="A134" s="15">
        <f t="shared" si="16"/>
        <v>121</v>
      </c>
      <c r="B134" s="15" t="s">
        <v>367</v>
      </c>
      <c r="C134" s="16">
        <v>2021</v>
      </c>
      <c r="D134" s="75" t="s">
        <v>23</v>
      </c>
      <c r="E134" s="16" t="s">
        <v>225</v>
      </c>
      <c r="F134" s="17">
        <v>10</v>
      </c>
      <c r="G134" s="75" t="s">
        <v>103</v>
      </c>
      <c r="H134" s="75" t="s">
        <v>108</v>
      </c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Yes</v>
      </c>
      <c r="J134" s="37">
        <v>31487</v>
      </c>
      <c r="K134" s="37">
        <v>31487</v>
      </c>
      <c r="L134" s="35">
        <v>0.96</v>
      </c>
      <c r="M134" s="78">
        <f t="shared" si="17"/>
        <v>32798.958333333336</v>
      </c>
      <c r="N134" s="79">
        <f t="shared" si="18"/>
        <v>0.96</v>
      </c>
      <c r="O134" s="80">
        <f t="shared" si="13"/>
        <v>0</v>
      </c>
      <c r="P134" s="19">
        <v>-927</v>
      </c>
      <c r="Q134" s="19">
        <v>601</v>
      </c>
      <c r="R134" s="81">
        <f t="shared" si="14"/>
        <v>-326</v>
      </c>
      <c r="S134" s="82">
        <f t="shared" si="19"/>
        <v>-0.36206577404825074</v>
      </c>
      <c r="T134" s="83" t="s">
        <v>172</v>
      </c>
      <c r="U134" s="83" t="s">
        <v>154</v>
      </c>
      <c r="V134" s="83" t="s">
        <v>155</v>
      </c>
      <c r="W134" s="113">
        <f t="shared" si="20"/>
        <v>30</v>
      </c>
      <c r="AA134" s="75" t="s">
        <v>108</v>
      </c>
      <c r="AB134" s="44">
        <v>-2000</v>
      </c>
    </row>
    <row r="135" spans="1:28" ht="15">
      <c r="A135" s="15">
        <f t="shared" si="16"/>
        <v>122</v>
      </c>
      <c r="B135" s="15" t="s">
        <v>368</v>
      </c>
      <c r="C135" s="16">
        <v>2022</v>
      </c>
      <c r="D135" s="75" t="s">
        <v>19</v>
      </c>
      <c r="E135" s="16" t="s">
        <v>349</v>
      </c>
      <c r="F135" s="17">
        <v>30</v>
      </c>
      <c r="G135" s="75" t="s">
        <v>103</v>
      </c>
      <c r="H135" s="75" t="s">
        <v>104</v>
      </c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No</v>
      </c>
      <c r="J135" s="18">
        <v>72487</v>
      </c>
      <c r="K135" s="1">
        <v>72215</v>
      </c>
      <c r="L135" s="36">
        <v>0.98</v>
      </c>
      <c r="M135" s="78">
        <f t="shared" si="17"/>
        <v>73966.326530612248</v>
      </c>
      <c r="N135" s="79">
        <f t="shared" si="18"/>
        <v>0.97632265095810278</v>
      </c>
      <c r="O135" s="80">
        <f t="shared" si="13"/>
        <v>272</v>
      </c>
      <c r="P135" s="19">
        <v>-817</v>
      </c>
      <c r="Q135" s="19">
        <v>6664</v>
      </c>
      <c r="R135" s="81">
        <f t="shared" si="14"/>
        <v>5847</v>
      </c>
      <c r="S135" s="82">
        <f t="shared" si="19"/>
        <v>0.96072954321393367</v>
      </c>
      <c r="T135" s="83" t="s">
        <v>160</v>
      </c>
      <c r="U135" s="83" t="s">
        <v>196</v>
      </c>
      <c r="V135" s="83" t="s">
        <v>156</v>
      </c>
      <c r="W135" s="113">
        <f t="shared" si="20"/>
        <v>30</v>
      </c>
      <c r="AA135" s="75" t="s">
        <v>108</v>
      </c>
      <c r="AB135" s="44">
        <v>-5000</v>
      </c>
    </row>
    <row r="136" spans="1:28" ht="15">
      <c r="A136" s="15">
        <f t="shared" si="16"/>
        <v>123</v>
      </c>
      <c r="B136" s="15" t="s">
        <v>369</v>
      </c>
      <c r="C136" s="16">
        <v>2021</v>
      </c>
      <c r="D136" s="75" t="s">
        <v>23</v>
      </c>
      <c r="E136" s="16" t="s">
        <v>250</v>
      </c>
      <c r="F136" s="17">
        <v>21</v>
      </c>
      <c r="G136" s="75" t="s">
        <v>103</v>
      </c>
      <c r="H136" s="75" t="s">
        <v>108</v>
      </c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8">
        <v>68987</v>
      </c>
      <c r="K136" s="18">
        <v>68987</v>
      </c>
      <c r="L136" s="35">
        <v>0.97</v>
      </c>
      <c r="M136" s="78">
        <f t="shared" si="17"/>
        <v>71120.61855670104</v>
      </c>
      <c r="N136" s="79">
        <f t="shared" si="18"/>
        <v>0.96999999999999986</v>
      </c>
      <c r="O136" s="80">
        <f t="shared" si="13"/>
        <v>0</v>
      </c>
      <c r="P136" s="19">
        <v>3079</v>
      </c>
      <c r="Q136" s="19">
        <v>3201</v>
      </c>
      <c r="R136" s="81">
        <f t="shared" si="14"/>
        <v>6280</v>
      </c>
      <c r="S136" s="82">
        <f t="shared" si="19"/>
        <v>1.6334457555553628</v>
      </c>
      <c r="T136" s="83" t="s">
        <v>164</v>
      </c>
      <c r="U136" s="83" t="s">
        <v>154</v>
      </c>
      <c r="V136" s="83" t="s">
        <v>155</v>
      </c>
      <c r="W136" s="113">
        <f t="shared" si="20"/>
        <v>30</v>
      </c>
      <c r="AA136" s="75" t="s">
        <v>108</v>
      </c>
      <c r="AB136" s="44">
        <v>-1000</v>
      </c>
    </row>
    <row r="137" spans="1:28" ht="15">
      <c r="A137" s="15">
        <f t="shared" si="16"/>
        <v>124</v>
      </c>
      <c r="B137" s="15" t="s">
        <v>370</v>
      </c>
      <c r="C137" s="16">
        <v>2021</v>
      </c>
      <c r="D137" s="75" t="s">
        <v>24</v>
      </c>
      <c r="E137" s="16" t="s">
        <v>365</v>
      </c>
      <c r="F137" s="17">
        <v>60</v>
      </c>
      <c r="G137" s="75" t="s">
        <v>110</v>
      </c>
      <c r="H137" s="75" t="s">
        <v>104</v>
      </c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No</v>
      </c>
      <c r="J137" s="18">
        <v>19287</v>
      </c>
      <c r="K137" s="18">
        <v>19000</v>
      </c>
      <c r="L137" s="35">
        <v>0.9</v>
      </c>
      <c r="M137" s="78">
        <f t="shared" si="17"/>
        <v>21430</v>
      </c>
      <c r="N137" s="79">
        <f t="shared" si="18"/>
        <v>0.88660755949603365</v>
      </c>
      <c r="O137" s="80">
        <f t="shared" si="13"/>
        <v>287</v>
      </c>
      <c r="P137" s="19">
        <v>-3305</v>
      </c>
      <c r="Q137" s="19">
        <v>0</v>
      </c>
      <c r="R137" s="81">
        <f t="shared" si="14"/>
        <v>-3305</v>
      </c>
      <c r="S137" s="82">
        <f t="shared" si="19"/>
        <v>-0.88903833221250839</v>
      </c>
      <c r="T137" s="83" t="s">
        <v>166</v>
      </c>
      <c r="U137" s="83" t="s">
        <v>154</v>
      </c>
      <c r="V137" s="83" t="s">
        <v>155</v>
      </c>
      <c r="W137" s="113">
        <f t="shared" si="20"/>
        <v>60</v>
      </c>
      <c r="AA137" s="75" t="s">
        <v>104</v>
      </c>
      <c r="AB137" s="44">
        <v>0</v>
      </c>
    </row>
    <row r="138" spans="1:28" ht="15">
      <c r="A138" s="15">
        <f t="shared" si="16"/>
        <v>125</v>
      </c>
      <c r="B138" s="15" t="s">
        <v>371</v>
      </c>
      <c r="C138" s="16">
        <v>2018</v>
      </c>
      <c r="D138" s="75" t="s">
        <v>19</v>
      </c>
      <c r="E138" s="16" t="s">
        <v>372</v>
      </c>
      <c r="F138" s="17">
        <v>88</v>
      </c>
      <c r="G138" s="75" t="s">
        <v>110</v>
      </c>
      <c r="H138" s="75" t="s">
        <v>104</v>
      </c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8">
        <v>15308</v>
      </c>
      <c r="K138" s="1">
        <v>16308</v>
      </c>
      <c r="L138" s="36">
        <v>0.73</v>
      </c>
      <c r="M138" s="78">
        <f t="shared" si="17"/>
        <v>20969.863013698632</v>
      </c>
      <c r="N138" s="79">
        <f t="shared" si="18"/>
        <v>0.77768748366866991</v>
      </c>
      <c r="O138" s="80">
        <f t="shared" si="13"/>
        <v>-1000</v>
      </c>
      <c r="P138" s="19">
        <v>-3951</v>
      </c>
      <c r="Q138" s="19">
        <v>2080</v>
      </c>
      <c r="R138" s="81">
        <f t="shared" si="14"/>
        <v>-1871</v>
      </c>
      <c r="S138" s="82">
        <f t="shared" si="19"/>
        <v>-0.37781188158798107</v>
      </c>
      <c r="T138" s="83" t="s">
        <v>165</v>
      </c>
      <c r="U138" s="83" t="s">
        <v>196</v>
      </c>
      <c r="V138" s="83" t="s">
        <v>156</v>
      </c>
      <c r="W138" s="113">
        <f t="shared" si="20"/>
        <v>90</v>
      </c>
      <c r="AA138" s="75" t="s">
        <v>104</v>
      </c>
      <c r="AB138" s="44">
        <v>0</v>
      </c>
    </row>
    <row r="139" spans="1:28" ht="15">
      <c r="A139" s="15">
        <f t="shared" si="16"/>
        <v>126</v>
      </c>
      <c r="B139" s="15" t="s">
        <v>373</v>
      </c>
      <c r="C139" s="16">
        <v>2021</v>
      </c>
      <c r="D139" s="75" t="s">
        <v>7</v>
      </c>
      <c r="E139" s="16" t="s">
        <v>374</v>
      </c>
      <c r="F139" s="17">
        <v>14</v>
      </c>
      <c r="G139" s="75" t="s">
        <v>103</v>
      </c>
      <c r="H139" s="75" t="s">
        <v>104</v>
      </c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8">
        <v>38987</v>
      </c>
      <c r="K139" s="18">
        <v>38987</v>
      </c>
      <c r="L139" s="35">
        <v>0.96</v>
      </c>
      <c r="M139" s="78">
        <f t="shared" si="17"/>
        <v>40611.458333333336</v>
      </c>
      <c r="N139" s="79">
        <f t="shared" si="18"/>
        <v>0.96</v>
      </c>
      <c r="O139" s="80">
        <f t="shared" si="13"/>
        <v>0</v>
      </c>
      <c r="P139" s="19">
        <v>-2635</v>
      </c>
      <c r="Q139" s="19">
        <v>1753</v>
      </c>
      <c r="R139" s="81">
        <f t="shared" si="14"/>
        <v>-882</v>
      </c>
      <c r="S139" s="82">
        <f t="shared" si="19"/>
        <v>-0.5449041372351161</v>
      </c>
      <c r="T139" s="83" t="s">
        <v>166</v>
      </c>
      <c r="U139" s="83" t="s">
        <v>154</v>
      </c>
      <c r="V139" s="83" t="s">
        <v>156</v>
      </c>
      <c r="W139" s="113">
        <f t="shared" si="20"/>
        <v>30</v>
      </c>
      <c r="AA139" s="75" t="s">
        <v>108</v>
      </c>
      <c r="AB139" s="44">
        <v>-4000</v>
      </c>
    </row>
    <row r="140" spans="1:28" ht="15">
      <c r="A140" s="15">
        <f t="shared" si="16"/>
        <v>127</v>
      </c>
      <c r="B140" s="15" t="s">
        <v>375</v>
      </c>
      <c r="C140" s="16">
        <v>2022</v>
      </c>
      <c r="D140" s="75" t="s">
        <v>16</v>
      </c>
      <c r="E140" s="16" t="s">
        <v>376</v>
      </c>
      <c r="F140" s="17">
        <v>20</v>
      </c>
      <c r="G140" s="75" t="s">
        <v>103</v>
      </c>
      <c r="H140" s="75" t="s">
        <v>104</v>
      </c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No</v>
      </c>
      <c r="J140" s="18">
        <v>48198</v>
      </c>
      <c r="K140" s="1">
        <v>48578</v>
      </c>
      <c r="L140" s="36">
        <v>0.98</v>
      </c>
      <c r="M140" s="78">
        <f t="shared" si="17"/>
        <v>49181.632653061228</v>
      </c>
      <c r="N140" s="79">
        <f t="shared" si="18"/>
        <v>0.98772646167890776</v>
      </c>
      <c r="O140" s="80">
        <f t="shared" si="13"/>
        <v>-380</v>
      </c>
      <c r="P140" s="19">
        <v>6001</v>
      </c>
      <c r="Q140" s="19">
        <v>122</v>
      </c>
      <c r="R140" s="81">
        <f t="shared" si="14"/>
        <v>6123</v>
      </c>
      <c r="S140" s="82">
        <f t="shared" si="19"/>
        <v>2.5885806891044458</v>
      </c>
      <c r="T140" s="83" t="s">
        <v>166</v>
      </c>
      <c r="U140" s="83" t="s">
        <v>196</v>
      </c>
      <c r="V140" s="83" t="s">
        <v>155</v>
      </c>
      <c r="W140" s="113">
        <f t="shared" si="20"/>
        <v>30</v>
      </c>
      <c r="AA140" s="75" t="s">
        <v>108</v>
      </c>
      <c r="AB140" s="44">
        <v>2000</v>
      </c>
    </row>
    <row r="141" spans="1:28" ht="15">
      <c r="A141" s="15">
        <f t="shared" si="16"/>
        <v>128</v>
      </c>
      <c r="B141" s="15" t="s">
        <v>377</v>
      </c>
      <c r="C141" s="16">
        <v>2020</v>
      </c>
      <c r="D141" s="75" t="s">
        <v>17</v>
      </c>
      <c r="E141" s="16" t="s">
        <v>309</v>
      </c>
      <c r="F141" s="17">
        <v>17</v>
      </c>
      <c r="G141" s="75" t="s">
        <v>118</v>
      </c>
      <c r="H141" s="75" t="s">
        <v>104</v>
      </c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18">
        <v>22987</v>
      </c>
      <c r="K141" s="1">
        <v>22987</v>
      </c>
      <c r="L141" s="36">
        <v>0.99</v>
      </c>
      <c r="M141" s="78">
        <f t="shared" si="17"/>
        <v>23219.191919191919</v>
      </c>
      <c r="N141" s="79">
        <f t="shared" si="18"/>
        <v>0.99</v>
      </c>
      <c r="O141" s="80">
        <f t="shared" ref="O141:O204" si="21">IF(K141=0,"BLANK",(J141-K141))</f>
        <v>0</v>
      </c>
      <c r="P141" s="19">
        <v>2225</v>
      </c>
      <c r="Q141" s="19">
        <v>2329</v>
      </c>
      <c r="R141" s="81">
        <f t="shared" ref="R141:R204" si="22">IF(K141=0,"BLANK",SUM(P141:Q141))</f>
        <v>4554</v>
      </c>
      <c r="S141" s="82">
        <f t="shared" si="19"/>
        <v>4.6449112348917989</v>
      </c>
      <c r="T141" s="83" t="s">
        <v>166</v>
      </c>
      <c r="U141" s="83" t="s">
        <v>196</v>
      </c>
      <c r="V141" s="83" t="s">
        <v>155</v>
      </c>
      <c r="W141" s="113">
        <f t="shared" ref="W141:W172" si="23">IF(AND(F141&gt;0,F141&lt;=30),30,IF(AND(F141&gt;=31,F141&lt;=45),45,IF(AND(F141&gt;=46,F141&lt;=60),60,IF(AND(F141&gt;=61,F141&lt;=90),90,IF(F141&gt;=91,91,0)))))</f>
        <v>30</v>
      </c>
      <c r="AA141" s="75" t="s">
        <v>104</v>
      </c>
      <c r="AB141" s="44">
        <v>0</v>
      </c>
    </row>
    <row r="142" spans="1:28" ht="15">
      <c r="A142" s="15">
        <f t="shared" si="16"/>
        <v>129</v>
      </c>
      <c r="B142" s="15" t="s">
        <v>378</v>
      </c>
      <c r="C142" s="16">
        <v>2021</v>
      </c>
      <c r="D142" s="75" t="s">
        <v>17</v>
      </c>
      <c r="E142" s="16" t="s">
        <v>317</v>
      </c>
      <c r="F142" s="17">
        <v>22</v>
      </c>
      <c r="G142" s="75" t="s">
        <v>103</v>
      </c>
      <c r="H142" s="75" t="s">
        <v>108</v>
      </c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Yes</v>
      </c>
      <c r="J142" s="18">
        <v>63381</v>
      </c>
      <c r="K142" s="1">
        <v>63381</v>
      </c>
      <c r="L142" s="36">
        <v>1</v>
      </c>
      <c r="M142" s="78">
        <f t="shared" si="17"/>
        <v>63381</v>
      </c>
      <c r="N142" s="79">
        <f t="shared" si="18"/>
        <v>1</v>
      </c>
      <c r="O142" s="80">
        <f t="shared" si="21"/>
        <v>0</v>
      </c>
      <c r="P142" s="19">
        <v>4824</v>
      </c>
      <c r="Q142" s="19">
        <v>1997</v>
      </c>
      <c r="R142" s="81">
        <f t="shared" si="22"/>
        <v>6821</v>
      </c>
      <c r="S142" s="82">
        <f t="shared" si="19"/>
        <v>1.9061147879222575</v>
      </c>
      <c r="T142" s="83" t="s">
        <v>161</v>
      </c>
      <c r="U142" s="83" t="s">
        <v>196</v>
      </c>
      <c r="V142" s="83" t="s">
        <v>155</v>
      </c>
      <c r="W142" s="113">
        <f t="shared" si="23"/>
        <v>30</v>
      </c>
      <c r="AA142" s="75" t="s">
        <v>108</v>
      </c>
      <c r="AB142" s="44">
        <v>1000</v>
      </c>
    </row>
    <row r="143" spans="1:28" ht="15">
      <c r="A143" s="15">
        <f t="shared" ref="A143:A206" si="24">A142+1</f>
        <v>130</v>
      </c>
      <c r="B143" s="15" t="s">
        <v>379</v>
      </c>
      <c r="C143" s="16">
        <v>2017</v>
      </c>
      <c r="D143" s="75" t="s">
        <v>18</v>
      </c>
      <c r="E143" s="16" t="s">
        <v>380</v>
      </c>
      <c r="F143" s="17">
        <v>49</v>
      </c>
      <c r="G143" s="75" t="s">
        <v>103</v>
      </c>
      <c r="H143" s="75" t="s">
        <v>104</v>
      </c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No</v>
      </c>
      <c r="J143" s="18">
        <v>16987</v>
      </c>
      <c r="K143" s="18">
        <v>16987</v>
      </c>
      <c r="L143" s="35">
        <v>0.86</v>
      </c>
      <c r="M143" s="78">
        <f t="shared" ref="M143:M206" si="25">J143/L143</f>
        <v>19752.325581395347</v>
      </c>
      <c r="N143" s="79">
        <f t="shared" ref="N143:N206" si="26">K143/M143</f>
        <v>0.8600000000000001</v>
      </c>
      <c r="O143" s="80">
        <f t="shared" si="21"/>
        <v>0</v>
      </c>
      <c r="P143" s="19">
        <v>-1973</v>
      </c>
      <c r="Q143" s="19">
        <v>1872</v>
      </c>
      <c r="R143" s="81">
        <f t="shared" si="22"/>
        <v>-101</v>
      </c>
      <c r="S143" s="82">
        <f t="shared" ref="S143:S206" si="27">(R143/(K143-P143))*(360/F143)</f>
        <v>-3.9137173856884526E-2</v>
      </c>
      <c r="T143" s="83" t="s">
        <v>167</v>
      </c>
      <c r="U143" s="83" t="s">
        <v>196</v>
      </c>
      <c r="V143" s="83" t="s">
        <v>157</v>
      </c>
      <c r="W143" s="113">
        <f t="shared" si="23"/>
        <v>60</v>
      </c>
      <c r="AA143" s="75" t="s">
        <v>108</v>
      </c>
      <c r="AB143" s="44">
        <v>-5000</v>
      </c>
    </row>
    <row r="144" spans="1:28" ht="15">
      <c r="A144" s="15">
        <f t="shared" si="24"/>
        <v>131</v>
      </c>
      <c r="B144" s="15" t="s">
        <v>381</v>
      </c>
      <c r="C144" s="16">
        <v>2020</v>
      </c>
      <c r="D144" s="75" t="s">
        <v>15</v>
      </c>
      <c r="E144" s="16" t="s">
        <v>202</v>
      </c>
      <c r="F144" s="17">
        <v>53</v>
      </c>
      <c r="G144" s="75" t="s">
        <v>109</v>
      </c>
      <c r="H144" s="75" t="s">
        <v>108</v>
      </c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Yes</v>
      </c>
      <c r="J144" s="18">
        <v>24498</v>
      </c>
      <c r="K144" s="1">
        <v>26000</v>
      </c>
      <c r="L144" s="36">
        <v>0.89</v>
      </c>
      <c r="M144" s="78">
        <f t="shared" si="25"/>
        <v>27525.842696629214</v>
      </c>
      <c r="N144" s="79">
        <f t="shared" si="26"/>
        <v>0.94456690342068739</v>
      </c>
      <c r="O144" s="80">
        <f t="shared" si="21"/>
        <v>-1502</v>
      </c>
      <c r="P144" s="19">
        <v>-3722</v>
      </c>
      <c r="Q144" s="19">
        <v>2651</v>
      </c>
      <c r="R144" s="81">
        <f t="shared" si="22"/>
        <v>-1071</v>
      </c>
      <c r="S144" s="82">
        <f t="shared" si="27"/>
        <v>-0.24475866298136315</v>
      </c>
      <c r="T144" s="83" t="s">
        <v>165</v>
      </c>
      <c r="U144" s="83" t="s">
        <v>196</v>
      </c>
      <c r="V144" s="83" t="s">
        <v>156</v>
      </c>
      <c r="W144" s="113">
        <f t="shared" si="23"/>
        <v>60</v>
      </c>
      <c r="AA144" s="75" t="s">
        <v>104</v>
      </c>
      <c r="AB144" s="44">
        <v>0</v>
      </c>
    </row>
    <row r="145" spans="1:28" ht="15">
      <c r="A145" s="15">
        <f t="shared" si="24"/>
        <v>132</v>
      </c>
      <c r="B145" s="15" t="s">
        <v>382</v>
      </c>
      <c r="C145" s="16">
        <v>2021</v>
      </c>
      <c r="D145" s="75" t="s">
        <v>23</v>
      </c>
      <c r="E145" s="16" t="s">
        <v>225</v>
      </c>
      <c r="F145" s="17">
        <v>11</v>
      </c>
      <c r="G145" s="75" t="s">
        <v>103</v>
      </c>
      <c r="H145" s="75" t="s">
        <v>104</v>
      </c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Yes</v>
      </c>
      <c r="J145" s="18">
        <v>38987</v>
      </c>
      <c r="K145" s="1">
        <v>38987</v>
      </c>
      <c r="L145" s="36">
        <v>0.96</v>
      </c>
      <c r="M145" s="78">
        <f t="shared" si="25"/>
        <v>40611.458333333336</v>
      </c>
      <c r="N145" s="79">
        <f t="shared" si="26"/>
        <v>0.96</v>
      </c>
      <c r="O145" s="80">
        <f t="shared" si="21"/>
        <v>0</v>
      </c>
      <c r="P145" s="19">
        <v>149</v>
      </c>
      <c r="Q145" s="19">
        <v>836</v>
      </c>
      <c r="R145" s="81">
        <f t="shared" si="22"/>
        <v>985</v>
      </c>
      <c r="S145" s="82">
        <f t="shared" si="27"/>
        <v>0.8300212069716163</v>
      </c>
      <c r="T145" s="83" t="s">
        <v>159</v>
      </c>
      <c r="U145" s="83" t="s">
        <v>196</v>
      </c>
      <c r="V145" s="83" t="s">
        <v>156</v>
      </c>
      <c r="W145" s="113">
        <f t="shared" si="23"/>
        <v>30</v>
      </c>
      <c r="AA145" s="75" t="s">
        <v>108</v>
      </c>
      <c r="AB145" s="44">
        <v>-1000</v>
      </c>
    </row>
    <row r="146" spans="1:28" ht="15">
      <c r="A146" s="15">
        <f t="shared" si="24"/>
        <v>133</v>
      </c>
      <c r="B146" s="15" t="s">
        <v>383</v>
      </c>
      <c r="C146" s="16">
        <v>2021</v>
      </c>
      <c r="D146" s="75" t="s">
        <v>17</v>
      </c>
      <c r="E146" s="16" t="s">
        <v>347</v>
      </c>
      <c r="F146" s="17">
        <v>53</v>
      </c>
      <c r="G146" s="75" t="s">
        <v>112</v>
      </c>
      <c r="H146" s="75" t="s">
        <v>108</v>
      </c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Yes</v>
      </c>
      <c r="J146" s="18">
        <v>23987</v>
      </c>
      <c r="K146" s="1">
        <v>23987</v>
      </c>
      <c r="L146" s="36">
        <v>0.95</v>
      </c>
      <c r="M146" s="78">
        <f t="shared" si="25"/>
        <v>25249.473684210527</v>
      </c>
      <c r="N146" s="79">
        <f t="shared" si="26"/>
        <v>0.95</v>
      </c>
      <c r="O146" s="80">
        <f t="shared" si="21"/>
        <v>0</v>
      </c>
      <c r="P146" s="19">
        <v>655</v>
      </c>
      <c r="Q146" s="19">
        <v>1146</v>
      </c>
      <c r="R146" s="81">
        <f t="shared" si="22"/>
        <v>1801</v>
      </c>
      <c r="S146" s="82">
        <f t="shared" si="27"/>
        <v>0.52431028403779412</v>
      </c>
      <c r="T146" s="83" t="s">
        <v>172</v>
      </c>
      <c r="U146" s="83" t="s">
        <v>196</v>
      </c>
      <c r="V146" s="83" t="s">
        <v>157</v>
      </c>
      <c r="W146" s="113">
        <f t="shared" si="23"/>
        <v>60</v>
      </c>
      <c r="AA146" s="75" t="s">
        <v>108</v>
      </c>
      <c r="AB146" s="44">
        <v>-500</v>
      </c>
    </row>
    <row r="147" spans="1:28" ht="15">
      <c r="A147" s="15">
        <f t="shared" si="24"/>
        <v>134</v>
      </c>
      <c r="B147" s="15" t="s">
        <v>384</v>
      </c>
      <c r="C147" s="16">
        <v>2018</v>
      </c>
      <c r="D147" s="75" t="s">
        <v>17</v>
      </c>
      <c r="E147" s="16" t="s">
        <v>385</v>
      </c>
      <c r="F147" s="17">
        <v>16</v>
      </c>
      <c r="G147" s="75" t="s">
        <v>103</v>
      </c>
      <c r="H147" s="75" t="s">
        <v>104</v>
      </c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Yes</v>
      </c>
      <c r="J147" s="18">
        <v>34987</v>
      </c>
      <c r="K147" s="1">
        <v>34987</v>
      </c>
      <c r="L147" s="36">
        <v>0.93</v>
      </c>
      <c r="M147" s="78">
        <f t="shared" si="25"/>
        <v>37620.430107526881</v>
      </c>
      <c r="N147" s="79">
        <f t="shared" si="26"/>
        <v>0.93</v>
      </c>
      <c r="O147" s="80">
        <f t="shared" si="21"/>
        <v>0</v>
      </c>
      <c r="P147" s="19">
        <v>2734</v>
      </c>
      <c r="Q147" s="19">
        <v>2095</v>
      </c>
      <c r="R147" s="81">
        <f t="shared" si="22"/>
        <v>4829</v>
      </c>
      <c r="S147" s="82">
        <f t="shared" si="27"/>
        <v>3.3687563947539765</v>
      </c>
      <c r="T147" s="83" t="s">
        <v>168</v>
      </c>
      <c r="U147" s="83" t="s">
        <v>153</v>
      </c>
      <c r="V147" s="83" t="s">
        <v>157</v>
      </c>
      <c r="W147" s="113">
        <f t="shared" si="23"/>
        <v>30</v>
      </c>
      <c r="AA147" s="75" t="s">
        <v>108</v>
      </c>
      <c r="AB147" s="44">
        <v>1000</v>
      </c>
    </row>
    <row r="148" spans="1:28" ht="15">
      <c r="A148" s="15">
        <f t="shared" si="24"/>
        <v>135</v>
      </c>
      <c r="B148" s="15" t="s">
        <v>386</v>
      </c>
      <c r="C148" s="16">
        <v>2022</v>
      </c>
      <c r="D148" s="75" t="s">
        <v>23</v>
      </c>
      <c r="E148" s="16" t="s">
        <v>216</v>
      </c>
      <c r="F148" s="17">
        <v>60</v>
      </c>
      <c r="G148" s="75" t="s">
        <v>109</v>
      </c>
      <c r="H148" s="75" t="s">
        <v>108</v>
      </c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Yes</v>
      </c>
      <c r="J148" s="18">
        <v>22787</v>
      </c>
      <c r="K148" s="18">
        <v>22307</v>
      </c>
      <c r="L148" s="35">
        <v>0.89</v>
      </c>
      <c r="M148" s="78">
        <f t="shared" si="25"/>
        <v>25603.370786516854</v>
      </c>
      <c r="N148" s="79">
        <f t="shared" si="26"/>
        <v>0.87125246851274851</v>
      </c>
      <c r="O148" s="80">
        <f t="shared" si="21"/>
        <v>480</v>
      </c>
      <c r="P148" s="19">
        <v>-3505</v>
      </c>
      <c r="Q148" s="19">
        <v>2242</v>
      </c>
      <c r="R148" s="81">
        <f t="shared" si="22"/>
        <v>-1263</v>
      </c>
      <c r="S148" s="82">
        <f t="shared" si="27"/>
        <v>-0.29358437935843795</v>
      </c>
      <c r="T148" s="83" t="s">
        <v>162</v>
      </c>
      <c r="U148" s="83" t="s">
        <v>153</v>
      </c>
      <c r="V148" s="83" t="s">
        <v>155</v>
      </c>
      <c r="W148" s="113">
        <f t="shared" si="23"/>
        <v>60</v>
      </c>
      <c r="AA148" s="75" t="s">
        <v>108</v>
      </c>
      <c r="AB148" s="44">
        <v>0</v>
      </c>
    </row>
    <row r="149" spans="1:28" ht="15">
      <c r="A149" s="15">
        <f t="shared" si="24"/>
        <v>136</v>
      </c>
      <c r="B149" s="15" t="s">
        <v>387</v>
      </c>
      <c r="C149" s="16">
        <v>2019</v>
      </c>
      <c r="D149" s="75" t="s">
        <v>17</v>
      </c>
      <c r="E149" s="16" t="s">
        <v>309</v>
      </c>
      <c r="F149" s="17">
        <v>31</v>
      </c>
      <c r="G149" s="75" t="s">
        <v>110</v>
      </c>
      <c r="H149" s="75" t="s">
        <v>108</v>
      </c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8">
        <v>16174</v>
      </c>
      <c r="K149" s="1">
        <v>16174</v>
      </c>
      <c r="L149" s="36">
        <v>0.94</v>
      </c>
      <c r="M149" s="78">
        <f t="shared" si="25"/>
        <v>17206.382978723406</v>
      </c>
      <c r="N149" s="79">
        <f t="shared" si="26"/>
        <v>0.93999999999999984</v>
      </c>
      <c r="O149" s="80">
        <f t="shared" si="21"/>
        <v>0</v>
      </c>
      <c r="P149" s="19">
        <v>-3110</v>
      </c>
      <c r="Q149" s="19">
        <v>2533</v>
      </c>
      <c r="R149" s="81">
        <f t="shared" si="22"/>
        <v>-577</v>
      </c>
      <c r="S149" s="82">
        <f t="shared" si="27"/>
        <v>-0.34747174659252866</v>
      </c>
      <c r="T149" s="83" t="s">
        <v>165</v>
      </c>
      <c r="U149" s="83" t="s">
        <v>154</v>
      </c>
      <c r="V149" s="83" t="s">
        <v>155</v>
      </c>
      <c r="W149" s="113">
        <f t="shared" si="23"/>
        <v>45</v>
      </c>
      <c r="AA149" s="75" t="s">
        <v>104</v>
      </c>
      <c r="AB149" s="44">
        <v>0</v>
      </c>
    </row>
    <row r="150" spans="1:28" ht="15">
      <c r="A150" s="15">
        <f t="shared" si="24"/>
        <v>137</v>
      </c>
      <c r="B150" s="15" t="s">
        <v>388</v>
      </c>
      <c r="C150" s="16">
        <v>2019</v>
      </c>
      <c r="D150" s="75" t="s">
        <v>17</v>
      </c>
      <c r="E150" s="16" t="s">
        <v>269</v>
      </c>
      <c r="F150" s="17">
        <v>69</v>
      </c>
      <c r="G150" s="75" t="s">
        <v>103</v>
      </c>
      <c r="H150" s="75" t="s">
        <v>104</v>
      </c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18">
        <v>26787</v>
      </c>
      <c r="K150" s="1">
        <v>22179</v>
      </c>
      <c r="L150" s="36">
        <v>0.83</v>
      </c>
      <c r="M150" s="78">
        <f t="shared" si="25"/>
        <v>32273.493975903617</v>
      </c>
      <c r="N150" s="79">
        <f t="shared" si="26"/>
        <v>0.68722029342591551</v>
      </c>
      <c r="O150" s="80">
        <f t="shared" si="21"/>
        <v>4608</v>
      </c>
      <c r="P150" s="19">
        <v>-5545</v>
      </c>
      <c r="Q150" s="19">
        <v>3338</v>
      </c>
      <c r="R150" s="81">
        <f t="shared" si="22"/>
        <v>-2207</v>
      </c>
      <c r="S150" s="82">
        <f t="shared" si="27"/>
        <v>-0.41533626492193232</v>
      </c>
      <c r="T150" s="83" t="s">
        <v>160</v>
      </c>
      <c r="U150" s="83" t="s">
        <v>154</v>
      </c>
      <c r="V150" s="83" t="s">
        <v>155</v>
      </c>
      <c r="W150" s="113">
        <f t="shared" si="23"/>
        <v>90</v>
      </c>
      <c r="AA150" s="75" t="s">
        <v>104</v>
      </c>
      <c r="AB150" s="44">
        <v>0</v>
      </c>
    </row>
    <row r="151" spans="1:28" ht="15">
      <c r="A151" s="15">
        <f t="shared" si="24"/>
        <v>138</v>
      </c>
      <c r="B151" s="15" t="s">
        <v>389</v>
      </c>
      <c r="C151" s="16">
        <v>2018</v>
      </c>
      <c r="D151" s="75" t="s">
        <v>23</v>
      </c>
      <c r="E151" s="16" t="s">
        <v>225</v>
      </c>
      <c r="F151" s="17">
        <v>47</v>
      </c>
      <c r="G151" s="75" t="s">
        <v>110</v>
      </c>
      <c r="H151" s="75" t="s">
        <v>104</v>
      </c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18">
        <v>22223</v>
      </c>
      <c r="K151" s="18">
        <v>19934</v>
      </c>
      <c r="L151" s="35">
        <v>0.9</v>
      </c>
      <c r="M151" s="78">
        <f t="shared" si="25"/>
        <v>24692.222222222223</v>
      </c>
      <c r="N151" s="79">
        <f t="shared" si="26"/>
        <v>0.8072987445439409</v>
      </c>
      <c r="O151" s="80">
        <f t="shared" si="21"/>
        <v>2289</v>
      </c>
      <c r="P151" s="19">
        <v>-1791</v>
      </c>
      <c r="Q151" s="19">
        <v>2910</v>
      </c>
      <c r="R151" s="81">
        <f t="shared" si="22"/>
        <v>1119</v>
      </c>
      <c r="S151" s="82">
        <f t="shared" si="27"/>
        <v>0.39452537766569545</v>
      </c>
      <c r="T151" s="83" t="s">
        <v>172</v>
      </c>
      <c r="U151" s="83" t="s">
        <v>154</v>
      </c>
      <c r="V151" s="83" t="s">
        <v>155</v>
      </c>
      <c r="W151" s="113">
        <f t="shared" si="23"/>
        <v>60</v>
      </c>
      <c r="AA151" s="75" t="s">
        <v>108</v>
      </c>
      <c r="AB151" s="44">
        <v>-2500</v>
      </c>
    </row>
    <row r="152" spans="1:28" ht="15">
      <c r="A152" s="15">
        <f t="shared" si="24"/>
        <v>139</v>
      </c>
      <c r="B152" s="15" t="s">
        <v>390</v>
      </c>
      <c r="C152" s="16">
        <v>2020</v>
      </c>
      <c r="D152" s="75" t="s">
        <v>29</v>
      </c>
      <c r="E152" s="16" t="s">
        <v>391</v>
      </c>
      <c r="F152" s="17">
        <v>11</v>
      </c>
      <c r="G152" s="75" t="s">
        <v>110</v>
      </c>
      <c r="H152" s="75" t="s">
        <v>104</v>
      </c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No</v>
      </c>
      <c r="J152" s="18">
        <v>32977</v>
      </c>
      <c r="K152" s="18">
        <v>32977</v>
      </c>
      <c r="L152" s="35">
        <v>0.94</v>
      </c>
      <c r="M152" s="78">
        <f t="shared" si="25"/>
        <v>35081.914893617024</v>
      </c>
      <c r="N152" s="79">
        <f t="shared" si="26"/>
        <v>0.94</v>
      </c>
      <c r="O152" s="80">
        <f t="shared" si="21"/>
        <v>0</v>
      </c>
      <c r="P152" s="19">
        <v>4316</v>
      </c>
      <c r="Q152" s="19">
        <v>3554</v>
      </c>
      <c r="R152" s="81">
        <f t="shared" si="22"/>
        <v>7870</v>
      </c>
      <c r="S152" s="82">
        <f t="shared" si="27"/>
        <v>8.9865544246061315</v>
      </c>
      <c r="T152" s="83" t="s">
        <v>171</v>
      </c>
      <c r="U152" s="83" t="s">
        <v>153</v>
      </c>
      <c r="V152" s="83" t="s">
        <v>155</v>
      </c>
      <c r="W152" s="113">
        <f t="shared" si="23"/>
        <v>30</v>
      </c>
      <c r="AA152" s="75" t="s">
        <v>108</v>
      </c>
      <c r="AB152" s="44">
        <v>223</v>
      </c>
    </row>
    <row r="153" spans="1:28" ht="15">
      <c r="A153" s="15">
        <f t="shared" si="24"/>
        <v>140</v>
      </c>
      <c r="B153" s="15" t="s">
        <v>392</v>
      </c>
      <c r="C153" s="16">
        <v>2021</v>
      </c>
      <c r="D153" s="75" t="s">
        <v>15</v>
      </c>
      <c r="E153" s="16" t="s">
        <v>301</v>
      </c>
      <c r="F153" s="17">
        <v>5</v>
      </c>
      <c r="G153" s="75" t="s">
        <v>103</v>
      </c>
      <c r="H153" s="75" t="s">
        <v>104</v>
      </c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Yes</v>
      </c>
      <c r="J153" s="18">
        <v>21987</v>
      </c>
      <c r="K153" s="18">
        <v>21785</v>
      </c>
      <c r="L153" s="35">
        <v>0.99</v>
      </c>
      <c r="M153" s="78">
        <f t="shared" si="25"/>
        <v>22209.090909090908</v>
      </c>
      <c r="N153" s="79">
        <f t="shared" si="26"/>
        <v>0.98090462546049939</v>
      </c>
      <c r="O153" s="80">
        <f t="shared" si="21"/>
        <v>202</v>
      </c>
      <c r="P153" s="19">
        <v>-814</v>
      </c>
      <c r="Q153" s="19">
        <v>142</v>
      </c>
      <c r="R153" s="81">
        <f t="shared" si="22"/>
        <v>-672</v>
      </c>
      <c r="S153" s="82">
        <f t="shared" si="27"/>
        <v>-2.1409796893667861</v>
      </c>
      <c r="T153" s="83" t="s">
        <v>159</v>
      </c>
      <c r="U153" s="83" t="s">
        <v>154</v>
      </c>
      <c r="V153" s="83" t="s">
        <v>156</v>
      </c>
      <c r="W153" s="113">
        <f t="shared" si="23"/>
        <v>30</v>
      </c>
      <c r="AA153" s="75" t="s">
        <v>108</v>
      </c>
      <c r="AB153" s="44">
        <v>-2769</v>
      </c>
    </row>
    <row r="154" spans="1:28" ht="15">
      <c r="A154" s="15">
        <f t="shared" si="24"/>
        <v>141</v>
      </c>
      <c r="B154" s="15" t="s">
        <v>393</v>
      </c>
      <c r="C154" s="16">
        <v>2021</v>
      </c>
      <c r="D154" s="75" t="s">
        <v>15</v>
      </c>
      <c r="E154" s="16" t="s">
        <v>262</v>
      </c>
      <c r="F154" s="17">
        <v>62</v>
      </c>
      <c r="G154" s="75" t="s">
        <v>103</v>
      </c>
      <c r="H154" s="75" t="s">
        <v>104</v>
      </c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8">
        <v>31803</v>
      </c>
      <c r="K154" s="18">
        <v>31987</v>
      </c>
      <c r="L154" s="35">
        <v>0.91</v>
      </c>
      <c r="M154" s="78">
        <f t="shared" si="25"/>
        <v>34948.351648351651</v>
      </c>
      <c r="N154" s="79">
        <f t="shared" si="26"/>
        <v>0.91526491211520922</v>
      </c>
      <c r="O154" s="80">
        <f t="shared" si="21"/>
        <v>-184</v>
      </c>
      <c r="P154" s="19">
        <v>-3352</v>
      </c>
      <c r="Q154" s="19">
        <v>4184</v>
      </c>
      <c r="R154" s="81">
        <f t="shared" si="22"/>
        <v>832</v>
      </c>
      <c r="S154" s="82">
        <f t="shared" si="27"/>
        <v>0.13670357797151825</v>
      </c>
      <c r="T154" s="83" t="s">
        <v>161</v>
      </c>
      <c r="U154" s="83" t="s">
        <v>154</v>
      </c>
      <c r="V154" s="83" t="s">
        <v>156</v>
      </c>
      <c r="W154" s="113">
        <f t="shared" si="23"/>
        <v>90</v>
      </c>
      <c r="AA154" s="75" t="s">
        <v>108</v>
      </c>
      <c r="AB154" s="44">
        <v>-4000</v>
      </c>
    </row>
    <row r="155" spans="1:28" ht="15">
      <c r="A155" s="15">
        <f t="shared" si="24"/>
        <v>142</v>
      </c>
      <c r="B155" s="15" t="s">
        <v>394</v>
      </c>
      <c r="C155" s="16">
        <v>2012</v>
      </c>
      <c r="D155" s="75" t="s">
        <v>42</v>
      </c>
      <c r="E155" s="16" t="s">
        <v>395</v>
      </c>
      <c r="F155" s="17">
        <v>31</v>
      </c>
      <c r="G155" s="75" t="s">
        <v>110</v>
      </c>
      <c r="H155" s="75" t="s">
        <v>104</v>
      </c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No</v>
      </c>
      <c r="J155" s="18">
        <v>6987</v>
      </c>
      <c r="K155" s="18">
        <v>6987</v>
      </c>
      <c r="L155" s="35">
        <v>1</v>
      </c>
      <c r="M155" s="78">
        <f t="shared" si="25"/>
        <v>6987</v>
      </c>
      <c r="N155" s="79">
        <f t="shared" si="26"/>
        <v>1</v>
      </c>
      <c r="O155" s="80">
        <f t="shared" si="21"/>
        <v>0</v>
      </c>
      <c r="P155" s="19">
        <v>1155</v>
      </c>
      <c r="Q155" s="19">
        <v>751</v>
      </c>
      <c r="R155" s="81">
        <f t="shared" si="22"/>
        <v>1906</v>
      </c>
      <c r="S155" s="82">
        <f t="shared" si="27"/>
        <v>3.7953006770211073</v>
      </c>
      <c r="T155" s="83" t="s">
        <v>167</v>
      </c>
      <c r="U155" s="83" t="s">
        <v>153</v>
      </c>
      <c r="V155" s="83" t="s">
        <v>157</v>
      </c>
      <c r="W155" s="113">
        <f t="shared" si="23"/>
        <v>45</v>
      </c>
      <c r="AA155" s="75" t="s">
        <v>104</v>
      </c>
      <c r="AB155" s="44">
        <v>0</v>
      </c>
    </row>
    <row r="156" spans="1:28" ht="15">
      <c r="A156" s="15">
        <f t="shared" si="24"/>
        <v>143</v>
      </c>
      <c r="B156" s="15" t="s">
        <v>396</v>
      </c>
      <c r="C156" s="16">
        <v>2014</v>
      </c>
      <c r="D156" s="75" t="s">
        <v>17</v>
      </c>
      <c r="E156" s="16" t="s">
        <v>397</v>
      </c>
      <c r="F156" s="17">
        <v>14</v>
      </c>
      <c r="G156" s="75" t="s">
        <v>103</v>
      </c>
      <c r="H156" s="75" t="s">
        <v>104</v>
      </c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Yes</v>
      </c>
      <c r="J156" s="18">
        <v>27987</v>
      </c>
      <c r="K156" s="18">
        <v>27987</v>
      </c>
      <c r="L156" s="35">
        <v>0.96</v>
      </c>
      <c r="M156" s="78">
        <f t="shared" si="25"/>
        <v>29153.125</v>
      </c>
      <c r="N156" s="79">
        <f t="shared" si="26"/>
        <v>0.96</v>
      </c>
      <c r="O156" s="80">
        <f t="shared" si="21"/>
        <v>0</v>
      </c>
      <c r="P156" s="19">
        <v>6233</v>
      </c>
      <c r="Q156" s="19">
        <v>1389</v>
      </c>
      <c r="R156" s="81">
        <f t="shared" si="22"/>
        <v>7622</v>
      </c>
      <c r="S156" s="82">
        <f t="shared" si="27"/>
        <v>9.0095745938349587</v>
      </c>
      <c r="T156" s="83" t="s">
        <v>168</v>
      </c>
      <c r="U156" s="83" t="s">
        <v>153</v>
      </c>
      <c r="V156" s="83" t="s">
        <v>155</v>
      </c>
      <c r="W156" s="113">
        <f t="shared" si="23"/>
        <v>30</v>
      </c>
      <c r="AA156" s="75" t="s">
        <v>104</v>
      </c>
      <c r="AB156" s="44">
        <v>0</v>
      </c>
    </row>
    <row r="157" spans="1:28" ht="15">
      <c r="A157" s="15">
        <f t="shared" si="24"/>
        <v>144</v>
      </c>
      <c r="B157" s="15" t="s">
        <v>398</v>
      </c>
      <c r="C157" s="16">
        <v>2020</v>
      </c>
      <c r="D157" s="75" t="s">
        <v>54</v>
      </c>
      <c r="E157" s="16" t="s">
        <v>198</v>
      </c>
      <c r="F157" s="17">
        <v>18</v>
      </c>
      <c r="G157" s="75" t="s">
        <v>110</v>
      </c>
      <c r="H157" s="75" t="s">
        <v>104</v>
      </c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No</v>
      </c>
      <c r="J157" s="18">
        <v>24287</v>
      </c>
      <c r="K157" s="18">
        <v>24286</v>
      </c>
      <c r="L157" s="35">
        <v>0.94</v>
      </c>
      <c r="M157" s="78">
        <f t="shared" si="25"/>
        <v>25837.234042553195</v>
      </c>
      <c r="N157" s="79">
        <f t="shared" si="26"/>
        <v>0.93996129616667345</v>
      </c>
      <c r="O157" s="80">
        <f t="shared" si="21"/>
        <v>1</v>
      </c>
      <c r="P157" s="19">
        <v>224</v>
      </c>
      <c r="Q157" s="19">
        <v>42</v>
      </c>
      <c r="R157" s="81">
        <f t="shared" si="22"/>
        <v>266</v>
      </c>
      <c r="S157" s="82">
        <f t="shared" si="27"/>
        <v>0.22109550328318511</v>
      </c>
      <c r="T157" s="83" t="s">
        <v>166</v>
      </c>
      <c r="U157" s="83" t="s">
        <v>154</v>
      </c>
      <c r="V157" s="83" t="s">
        <v>157</v>
      </c>
      <c r="W157" s="113">
        <f t="shared" si="23"/>
        <v>30</v>
      </c>
      <c r="AA157" s="75" t="s">
        <v>104</v>
      </c>
      <c r="AB157" s="44">
        <v>0</v>
      </c>
    </row>
    <row r="158" spans="1:28" ht="15">
      <c r="A158" s="15">
        <f t="shared" si="24"/>
        <v>145</v>
      </c>
      <c r="B158" s="15" t="s">
        <v>399</v>
      </c>
      <c r="C158" s="16">
        <v>2009</v>
      </c>
      <c r="D158" s="75" t="s">
        <v>54</v>
      </c>
      <c r="E158" s="16" t="s">
        <v>206</v>
      </c>
      <c r="F158" s="17">
        <v>6</v>
      </c>
      <c r="G158" s="75" t="s">
        <v>103</v>
      </c>
      <c r="H158" s="75" t="s">
        <v>104</v>
      </c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8">
        <v>9987</v>
      </c>
      <c r="K158" s="18">
        <v>5000</v>
      </c>
      <c r="L158" s="35">
        <v>0.98</v>
      </c>
      <c r="M158" s="78">
        <f t="shared" si="25"/>
        <v>10190.816326530612</v>
      </c>
      <c r="N158" s="79">
        <f t="shared" si="26"/>
        <v>0.49063782917793131</v>
      </c>
      <c r="O158" s="80">
        <f t="shared" si="21"/>
        <v>4987</v>
      </c>
      <c r="P158" s="19">
        <v>-995</v>
      </c>
      <c r="Q158" s="19">
        <v>103</v>
      </c>
      <c r="R158" s="81">
        <f t="shared" si="22"/>
        <v>-892</v>
      </c>
      <c r="S158" s="82">
        <f t="shared" si="27"/>
        <v>-8.9274395329441205</v>
      </c>
      <c r="T158" s="83" t="s">
        <v>161</v>
      </c>
      <c r="U158" s="83" t="s">
        <v>196</v>
      </c>
      <c r="V158" s="83" t="s">
        <v>155</v>
      </c>
      <c r="W158" s="113">
        <f t="shared" si="23"/>
        <v>30</v>
      </c>
      <c r="AA158" s="75" t="s">
        <v>104</v>
      </c>
      <c r="AB158" s="44">
        <v>0</v>
      </c>
    </row>
    <row r="159" spans="1:28" ht="15">
      <c r="A159" s="15">
        <f t="shared" si="24"/>
        <v>146</v>
      </c>
      <c r="B159" s="15" t="s">
        <v>400</v>
      </c>
      <c r="C159" s="16">
        <v>2021</v>
      </c>
      <c r="D159" s="75" t="s">
        <v>17</v>
      </c>
      <c r="E159" s="16" t="s">
        <v>397</v>
      </c>
      <c r="F159" s="17">
        <v>59</v>
      </c>
      <c r="G159" s="75" t="s">
        <v>119</v>
      </c>
      <c r="H159" s="75" t="s">
        <v>108</v>
      </c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Yes</v>
      </c>
      <c r="J159" s="18">
        <v>35987</v>
      </c>
      <c r="K159" s="18">
        <v>35987</v>
      </c>
      <c r="L159" s="35">
        <v>0.92</v>
      </c>
      <c r="M159" s="78">
        <f t="shared" si="25"/>
        <v>39116.304347826088</v>
      </c>
      <c r="N159" s="79">
        <f t="shared" si="26"/>
        <v>0.91999999999999993</v>
      </c>
      <c r="O159" s="80">
        <f t="shared" si="21"/>
        <v>0</v>
      </c>
      <c r="P159" s="19">
        <v>237</v>
      </c>
      <c r="Q159" s="19">
        <v>4022</v>
      </c>
      <c r="R159" s="81">
        <f t="shared" si="22"/>
        <v>4259</v>
      </c>
      <c r="S159" s="82">
        <f t="shared" si="27"/>
        <v>0.72691240962427406</v>
      </c>
      <c r="T159" s="83" t="s">
        <v>161</v>
      </c>
      <c r="U159" s="83" t="s">
        <v>154</v>
      </c>
      <c r="V159" s="83" t="s">
        <v>156</v>
      </c>
      <c r="W159" s="113">
        <f t="shared" si="23"/>
        <v>60</v>
      </c>
      <c r="AA159" s="75" t="s">
        <v>108</v>
      </c>
      <c r="AB159" s="44">
        <v>1000</v>
      </c>
    </row>
    <row r="160" spans="1:28" ht="15">
      <c r="A160" s="15">
        <f t="shared" si="24"/>
        <v>147</v>
      </c>
      <c r="B160" s="15" t="s">
        <v>401</v>
      </c>
      <c r="C160" s="16">
        <v>2020</v>
      </c>
      <c r="D160" s="75" t="s">
        <v>23</v>
      </c>
      <c r="E160" s="16" t="s">
        <v>333</v>
      </c>
      <c r="F160" s="17">
        <v>51</v>
      </c>
      <c r="G160" s="75" t="s">
        <v>103</v>
      </c>
      <c r="H160" s="75" t="s">
        <v>104</v>
      </c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8">
        <v>61987</v>
      </c>
      <c r="K160" s="18">
        <v>63000</v>
      </c>
      <c r="L160" s="35">
        <v>0.95</v>
      </c>
      <c r="M160" s="78">
        <f t="shared" si="25"/>
        <v>65249.473684210527</v>
      </c>
      <c r="N160" s="79">
        <f t="shared" si="26"/>
        <v>0.96552502944165708</v>
      </c>
      <c r="O160" s="80">
        <f t="shared" si="21"/>
        <v>-1013</v>
      </c>
      <c r="P160" s="19">
        <v>-301</v>
      </c>
      <c r="Q160" s="19">
        <v>2963</v>
      </c>
      <c r="R160" s="81">
        <f t="shared" si="22"/>
        <v>2662</v>
      </c>
      <c r="S160" s="82">
        <f t="shared" si="27"/>
        <v>0.29684504565953329</v>
      </c>
      <c r="T160" s="83" t="s">
        <v>164</v>
      </c>
      <c r="U160" s="83" t="s">
        <v>196</v>
      </c>
      <c r="V160" s="83" t="s">
        <v>155</v>
      </c>
      <c r="W160" s="113">
        <f t="shared" si="23"/>
        <v>60</v>
      </c>
      <c r="AA160" s="75" t="s">
        <v>104</v>
      </c>
      <c r="AB160" s="44">
        <v>0</v>
      </c>
    </row>
    <row r="161" spans="1:28" ht="15">
      <c r="A161" s="15">
        <f t="shared" si="24"/>
        <v>148</v>
      </c>
      <c r="B161" s="15" t="s">
        <v>402</v>
      </c>
      <c r="C161" s="16">
        <v>2018</v>
      </c>
      <c r="D161" s="75" t="s">
        <v>17</v>
      </c>
      <c r="E161" s="16" t="s">
        <v>210</v>
      </c>
      <c r="F161" s="17">
        <v>13</v>
      </c>
      <c r="G161" s="75" t="s">
        <v>110</v>
      </c>
      <c r="H161" s="75" t="s">
        <v>104</v>
      </c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18">
        <v>40987</v>
      </c>
      <c r="K161" s="18">
        <v>38000</v>
      </c>
      <c r="L161" s="35">
        <v>0.95</v>
      </c>
      <c r="M161" s="78">
        <f t="shared" si="25"/>
        <v>43144.210526315794</v>
      </c>
      <c r="N161" s="79">
        <f t="shared" si="26"/>
        <v>0.88076707248639807</v>
      </c>
      <c r="O161" s="80">
        <f t="shared" si="21"/>
        <v>2987</v>
      </c>
      <c r="P161" s="19">
        <v>9179</v>
      </c>
      <c r="Q161" s="19">
        <v>0</v>
      </c>
      <c r="R161" s="81">
        <f t="shared" si="22"/>
        <v>9179</v>
      </c>
      <c r="S161" s="82">
        <f t="shared" si="27"/>
        <v>8.8195306307099788</v>
      </c>
      <c r="T161" s="83" t="s">
        <v>166</v>
      </c>
      <c r="U161" s="83" t="s">
        <v>196</v>
      </c>
      <c r="V161" s="83" t="s">
        <v>156</v>
      </c>
      <c r="W161" s="113">
        <f t="shared" si="23"/>
        <v>30</v>
      </c>
      <c r="AA161" s="75" t="s">
        <v>104</v>
      </c>
      <c r="AB161" s="44">
        <v>0</v>
      </c>
    </row>
    <row r="162" spans="1:28" ht="15">
      <c r="A162" s="15">
        <f t="shared" si="24"/>
        <v>149</v>
      </c>
      <c r="B162" s="15" t="s">
        <v>403</v>
      </c>
      <c r="C162" s="16">
        <v>2013</v>
      </c>
      <c r="D162" s="75" t="s">
        <v>17</v>
      </c>
      <c r="E162" s="16" t="s">
        <v>309</v>
      </c>
      <c r="F162" s="17">
        <v>13</v>
      </c>
      <c r="G162" s="75" t="s">
        <v>103</v>
      </c>
      <c r="H162" s="75" t="s">
        <v>104</v>
      </c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Yes</v>
      </c>
      <c r="J162" s="18">
        <v>12487</v>
      </c>
      <c r="K162" s="1">
        <v>13487</v>
      </c>
      <c r="L162" s="36">
        <v>0.94</v>
      </c>
      <c r="M162" s="78">
        <f t="shared" si="25"/>
        <v>13284.04255319149</v>
      </c>
      <c r="N162" s="79">
        <f t="shared" si="26"/>
        <v>1.0152782894209977</v>
      </c>
      <c r="O162" s="80">
        <f t="shared" si="21"/>
        <v>-1000</v>
      </c>
      <c r="P162" s="19">
        <v>5243</v>
      </c>
      <c r="Q162" s="19">
        <v>3182</v>
      </c>
      <c r="R162" s="81">
        <f t="shared" si="22"/>
        <v>8425</v>
      </c>
      <c r="S162" s="82">
        <f t="shared" si="27"/>
        <v>28.300302317769567</v>
      </c>
      <c r="T162" s="83" t="s">
        <v>165</v>
      </c>
      <c r="U162" s="83" t="s">
        <v>196</v>
      </c>
      <c r="V162" s="83" t="s">
        <v>157</v>
      </c>
      <c r="W162" s="113">
        <f t="shared" si="23"/>
        <v>30</v>
      </c>
      <c r="AA162" s="75" t="s">
        <v>104</v>
      </c>
      <c r="AB162" s="44">
        <v>0</v>
      </c>
    </row>
    <row r="163" spans="1:28" ht="15">
      <c r="A163" s="15">
        <f t="shared" si="24"/>
        <v>150</v>
      </c>
      <c r="B163" s="15" t="s">
        <v>404</v>
      </c>
      <c r="C163" s="16">
        <v>2022</v>
      </c>
      <c r="D163" s="75" t="s">
        <v>17</v>
      </c>
      <c r="E163" s="16" t="s">
        <v>397</v>
      </c>
      <c r="F163" s="17">
        <v>18</v>
      </c>
      <c r="G163" s="75" t="s">
        <v>103</v>
      </c>
      <c r="H163" s="75" t="s">
        <v>104</v>
      </c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Yes</v>
      </c>
      <c r="J163" s="18">
        <v>58100</v>
      </c>
      <c r="K163" s="18">
        <v>55000</v>
      </c>
      <c r="L163" s="35">
        <v>1.02</v>
      </c>
      <c r="M163" s="78">
        <f t="shared" si="25"/>
        <v>56960.784313725489</v>
      </c>
      <c r="N163" s="79">
        <f t="shared" si="26"/>
        <v>0.96557659208261615</v>
      </c>
      <c r="O163" s="80">
        <f t="shared" si="21"/>
        <v>3100</v>
      </c>
      <c r="P163" s="19">
        <v>6867</v>
      </c>
      <c r="Q163" s="19">
        <v>1153</v>
      </c>
      <c r="R163" s="81">
        <f t="shared" si="22"/>
        <v>8020</v>
      </c>
      <c r="S163" s="82">
        <f t="shared" si="27"/>
        <v>3.3324330500903749</v>
      </c>
      <c r="T163" s="83" t="s">
        <v>166</v>
      </c>
      <c r="U163" s="83" t="s">
        <v>196</v>
      </c>
      <c r="V163" s="83" t="s">
        <v>156</v>
      </c>
      <c r="W163" s="113">
        <f t="shared" si="23"/>
        <v>30</v>
      </c>
      <c r="AA163" s="75" t="s">
        <v>104</v>
      </c>
      <c r="AB163" s="44">
        <v>0</v>
      </c>
    </row>
    <row r="164" spans="1:28" ht="15">
      <c r="A164" s="15">
        <f t="shared" si="24"/>
        <v>151</v>
      </c>
      <c r="B164" s="15" t="s">
        <v>405</v>
      </c>
      <c r="C164" s="16">
        <v>2022</v>
      </c>
      <c r="D164" s="75" t="s">
        <v>47</v>
      </c>
      <c r="E164" s="16">
        <v>1500</v>
      </c>
      <c r="F164" s="17">
        <v>24</v>
      </c>
      <c r="G164" s="75" t="s">
        <v>103</v>
      </c>
      <c r="H164" s="75" t="s">
        <v>104</v>
      </c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No</v>
      </c>
      <c r="J164" s="18">
        <v>84716</v>
      </c>
      <c r="K164" s="1">
        <v>78500</v>
      </c>
      <c r="L164" s="36">
        <v>0.99</v>
      </c>
      <c r="M164" s="78">
        <f t="shared" si="25"/>
        <v>85571.717171717173</v>
      </c>
      <c r="N164" s="79">
        <f t="shared" si="26"/>
        <v>0.91735917654280186</v>
      </c>
      <c r="O164" s="80">
        <f t="shared" si="21"/>
        <v>6216</v>
      </c>
      <c r="P164" s="19">
        <v>1982</v>
      </c>
      <c r="Q164" s="19">
        <v>3526</v>
      </c>
      <c r="R164" s="81">
        <f t="shared" si="22"/>
        <v>5508</v>
      </c>
      <c r="S164" s="82">
        <f t="shared" si="27"/>
        <v>1.0797459421312632</v>
      </c>
      <c r="T164" s="83" t="s">
        <v>162</v>
      </c>
      <c r="U164" s="83" t="s">
        <v>196</v>
      </c>
      <c r="V164" s="83" t="s">
        <v>156</v>
      </c>
      <c r="W164" s="113">
        <f t="shared" si="23"/>
        <v>30</v>
      </c>
      <c r="AA164" s="75" t="s">
        <v>108</v>
      </c>
      <c r="AB164" s="44">
        <v>2000</v>
      </c>
    </row>
    <row r="165" spans="1:28" ht="15">
      <c r="A165" s="15">
        <f t="shared" si="24"/>
        <v>152</v>
      </c>
      <c r="B165" s="15" t="s">
        <v>406</v>
      </c>
      <c r="C165" s="16">
        <v>2017</v>
      </c>
      <c r="D165" s="75" t="s">
        <v>23</v>
      </c>
      <c r="E165" s="16" t="s">
        <v>272</v>
      </c>
      <c r="F165" s="17">
        <v>6</v>
      </c>
      <c r="G165" s="75" t="s">
        <v>103</v>
      </c>
      <c r="H165" s="75" t="s">
        <v>104</v>
      </c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Yes</v>
      </c>
      <c r="J165" s="18">
        <v>37987</v>
      </c>
      <c r="K165" s="1">
        <v>37987</v>
      </c>
      <c r="L165" s="36">
        <v>0.98</v>
      </c>
      <c r="M165" s="78">
        <f t="shared" si="25"/>
        <v>38762.244897959186</v>
      </c>
      <c r="N165" s="79">
        <f t="shared" si="26"/>
        <v>0.98</v>
      </c>
      <c r="O165" s="80">
        <f t="shared" si="21"/>
        <v>0</v>
      </c>
      <c r="P165" s="19">
        <v>1243</v>
      </c>
      <c r="Q165" s="19">
        <v>2639</v>
      </c>
      <c r="R165" s="81">
        <f t="shared" si="22"/>
        <v>3882</v>
      </c>
      <c r="S165" s="82">
        <f t="shared" si="27"/>
        <v>6.3389941214892236</v>
      </c>
      <c r="T165" s="83" t="s">
        <v>159</v>
      </c>
      <c r="U165" s="83" t="s">
        <v>153</v>
      </c>
      <c r="V165" s="83" t="s">
        <v>157</v>
      </c>
      <c r="W165" s="113">
        <f t="shared" si="23"/>
        <v>30</v>
      </c>
      <c r="AA165" s="75" t="s">
        <v>108</v>
      </c>
      <c r="AB165" s="44">
        <v>-1000</v>
      </c>
    </row>
    <row r="166" spans="1:28" ht="15">
      <c r="A166" s="15">
        <f t="shared" si="24"/>
        <v>153</v>
      </c>
      <c r="B166" s="15" t="s">
        <v>407</v>
      </c>
      <c r="C166" s="16">
        <v>2020</v>
      </c>
      <c r="D166" s="75" t="s">
        <v>15</v>
      </c>
      <c r="E166" s="16" t="s">
        <v>262</v>
      </c>
      <c r="F166" s="17">
        <v>10</v>
      </c>
      <c r="G166" s="75" t="s">
        <v>118</v>
      </c>
      <c r="H166" s="75" t="s">
        <v>108</v>
      </c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Yes</v>
      </c>
      <c r="J166" s="18">
        <v>22587</v>
      </c>
      <c r="K166" s="18">
        <v>23256</v>
      </c>
      <c r="L166" s="35">
        <v>0.97</v>
      </c>
      <c r="M166" s="78">
        <f t="shared" si="25"/>
        <v>23285.567010309278</v>
      </c>
      <c r="N166" s="79">
        <f t="shared" si="26"/>
        <v>0.99873024306016733</v>
      </c>
      <c r="O166" s="80">
        <f t="shared" si="21"/>
        <v>-669</v>
      </c>
      <c r="P166" s="19">
        <v>3244</v>
      </c>
      <c r="Q166" s="19">
        <v>100</v>
      </c>
      <c r="R166" s="81">
        <f t="shared" si="22"/>
        <v>3344</v>
      </c>
      <c r="S166" s="82">
        <f t="shared" si="27"/>
        <v>6.0155906456126322</v>
      </c>
      <c r="T166" s="83" t="s">
        <v>158</v>
      </c>
      <c r="U166" s="83" t="s">
        <v>153</v>
      </c>
      <c r="V166" s="83" t="s">
        <v>157</v>
      </c>
      <c r="W166" s="113">
        <f t="shared" si="23"/>
        <v>30</v>
      </c>
      <c r="AA166" s="75" t="s">
        <v>104</v>
      </c>
      <c r="AB166" s="44">
        <v>0</v>
      </c>
    </row>
    <row r="167" spans="1:28" ht="15">
      <c r="A167" s="15">
        <f t="shared" si="24"/>
        <v>154</v>
      </c>
      <c r="B167" s="15" t="s">
        <v>408</v>
      </c>
      <c r="C167" s="16">
        <v>2015</v>
      </c>
      <c r="D167" s="75" t="s">
        <v>17</v>
      </c>
      <c r="E167" s="16" t="s">
        <v>309</v>
      </c>
      <c r="F167" s="17">
        <v>29</v>
      </c>
      <c r="G167" s="75" t="s">
        <v>103</v>
      </c>
      <c r="H167" s="75" t="s">
        <v>104</v>
      </c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Yes</v>
      </c>
      <c r="J167" s="18">
        <v>12315</v>
      </c>
      <c r="K167" s="18">
        <v>11251</v>
      </c>
      <c r="L167" s="35">
        <v>0.89</v>
      </c>
      <c r="M167" s="78">
        <f t="shared" si="25"/>
        <v>13837.078651685393</v>
      </c>
      <c r="N167" s="79">
        <f t="shared" si="26"/>
        <v>0.81310515631343894</v>
      </c>
      <c r="O167" s="80">
        <f t="shared" si="21"/>
        <v>1064</v>
      </c>
      <c r="P167" s="19">
        <v>-239</v>
      </c>
      <c r="Q167" s="19">
        <v>0</v>
      </c>
      <c r="R167" s="81">
        <f t="shared" si="22"/>
        <v>-239</v>
      </c>
      <c r="S167" s="82">
        <f t="shared" si="27"/>
        <v>-0.2582155397497074</v>
      </c>
      <c r="T167" s="83" t="s">
        <v>172</v>
      </c>
      <c r="U167" s="83" t="s">
        <v>196</v>
      </c>
      <c r="V167" s="83" t="s">
        <v>157</v>
      </c>
      <c r="W167" s="113">
        <f t="shared" si="23"/>
        <v>30</v>
      </c>
      <c r="AA167" s="75" t="s">
        <v>104</v>
      </c>
      <c r="AB167" s="44">
        <v>0</v>
      </c>
    </row>
    <row r="168" spans="1:28" ht="15">
      <c r="A168" s="15">
        <f t="shared" si="24"/>
        <v>155</v>
      </c>
      <c r="B168" s="15" t="s">
        <v>409</v>
      </c>
      <c r="C168" s="16">
        <v>2019</v>
      </c>
      <c r="D168" s="75" t="s">
        <v>17</v>
      </c>
      <c r="E168" s="16" t="s">
        <v>385</v>
      </c>
      <c r="F168" s="17">
        <v>2</v>
      </c>
      <c r="G168" s="75" t="s">
        <v>110</v>
      </c>
      <c r="H168" s="75" t="s">
        <v>104</v>
      </c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Yes</v>
      </c>
      <c r="J168" s="18">
        <v>24987</v>
      </c>
      <c r="K168" s="18">
        <v>24610</v>
      </c>
      <c r="L168" s="35">
        <v>1</v>
      </c>
      <c r="M168" s="78">
        <f t="shared" si="25"/>
        <v>24987</v>
      </c>
      <c r="N168" s="79">
        <f t="shared" si="26"/>
        <v>0.98491215432024648</v>
      </c>
      <c r="O168" s="80">
        <f t="shared" si="21"/>
        <v>377</v>
      </c>
      <c r="P168" s="19">
        <v>4608</v>
      </c>
      <c r="Q168" s="19">
        <v>341</v>
      </c>
      <c r="R168" s="81">
        <f t="shared" si="22"/>
        <v>4949</v>
      </c>
      <c r="S168" s="82">
        <f t="shared" si="27"/>
        <v>44.536546345365458</v>
      </c>
      <c r="T168" s="83" t="s">
        <v>162</v>
      </c>
      <c r="U168" s="83" t="s">
        <v>153</v>
      </c>
      <c r="V168" s="83" t="s">
        <v>156</v>
      </c>
      <c r="W168" s="113">
        <f t="shared" si="23"/>
        <v>30</v>
      </c>
      <c r="AA168" s="75" t="s">
        <v>104</v>
      </c>
      <c r="AB168" s="44">
        <v>0</v>
      </c>
    </row>
    <row r="169" spans="1:28" ht="15">
      <c r="A169" s="15">
        <f t="shared" si="24"/>
        <v>156</v>
      </c>
      <c r="B169" s="15" t="s">
        <v>410</v>
      </c>
      <c r="C169" s="16">
        <v>2012</v>
      </c>
      <c r="D169" s="75" t="s">
        <v>15</v>
      </c>
      <c r="E169" s="16" t="s">
        <v>411</v>
      </c>
      <c r="F169" s="17">
        <v>25</v>
      </c>
      <c r="G169" s="75" t="s">
        <v>110</v>
      </c>
      <c r="H169" s="75" t="s">
        <v>104</v>
      </c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Yes</v>
      </c>
      <c r="J169" s="18">
        <v>9987</v>
      </c>
      <c r="K169" s="1">
        <v>10000</v>
      </c>
      <c r="L169" s="36">
        <v>1</v>
      </c>
      <c r="M169" s="78">
        <f t="shared" si="25"/>
        <v>9987</v>
      </c>
      <c r="N169" s="79">
        <f t="shared" si="26"/>
        <v>1.0013016921998599</v>
      </c>
      <c r="O169" s="80">
        <f t="shared" si="21"/>
        <v>-13</v>
      </c>
      <c r="P169" s="19">
        <v>3998</v>
      </c>
      <c r="Q169" s="19">
        <v>42</v>
      </c>
      <c r="R169" s="81">
        <f t="shared" si="22"/>
        <v>4040</v>
      </c>
      <c r="S169" s="82">
        <f t="shared" si="27"/>
        <v>9.6927690769743418</v>
      </c>
      <c r="T169" s="83" t="s">
        <v>162</v>
      </c>
      <c r="U169" s="83" t="s">
        <v>153</v>
      </c>
      <c r="V169" s="83" t="s">
        <v>156</v>
      </c>
      <c r="W169" s="113">
        <f t="shared" si="23"/>
        <v>30</v>
      </c>
      <c r="AA169" s="75" t="s">
        <v>104</v>
      </c>
      <c r="AB169" s="44">
        <v>0</v>
      </c>
    </row>
    <row r="170" spans="1:28" ht="15">
      <c r="A170" s="15">
        <f t="shared" si="24"/>
        <v>157</v>
      </c>
      <c r="B170" s="15" t="s">
        <v>412</v>
      </c>
      <c r="C170" s="16">
        <v>2020</v>
      </c>
      <c r="D170" s="75" t="s">
        <v>17</v>
      </c>
      <c r="E170" s="16" t="s">
        <v>309</v>
      </c>
      <c r="F170" s="17">
        <v>31</v>
      </c>
      <c r="G170" s="75" t="s">
        <v>103</v>
      </c>
      <c r="H170" s="75" t="s">
        <v>108</v>
      </c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Yes</v>
      </c>
      <c r="J170" s="18">
        <v>19987</v>
      </c>
      <c r="K170" s="18">
        <v>19750</v>
      </c>
      <c r="L170" s="35">
        <v>1</v>
      </c>
      <c r="M170" s="78">
        <f t="shared" si="25"/>
        <v>19987</v>
      </c>
      <c r="N170" s="79">
        <f t="shared" si="26"/>
        <v>0.98814229249011853</v>
      </c>
      <c r="O170" s="80">
        <f t="shared" si="21"/>
        <v>237</v>
      </c>
      <c r="P170" s="19">
        <v>-2874</v>
      </c>
      <c r="Q170" s="19">
        <v>908</v>
      </c>
      <c r="R170" s="81">
        <f t="shared" si="22"/>
        <v>-1966</v>
      </c>
      <c r="S170" s="82">
        <f t="shared" si="27"/>
        <v>-1.0091481498380253</v>
      </c>
      <c r="T170" s="83" t="s">
        <v>161</v>
      </c>
      <c r="U170" s="83" t="s">
        <v>153</v>
      </c>
      <c r="V170" s="83" t="s">
        <v>157</v>
      </c>
      <c r="W170" s="113">
        <f t="shared" si="23"/>
        <v>45</v>
      </c>
      <c r="AA170" s="75" t="s">
        <v>108</v>
      </c>
      <c r="AB170" s="44">
        <v>-3700</v>
      </c>
    </row>
    <row r="171" spans="1:28" ht="15">
      <c r="A171" s="15">
        <f t="shared" si="24"/>
        <v>158</v>
      </c>
      <c r="B171" s="15" t="s">
        <v>413</v>
      </c>
      <c r="C171" s="16">
        <v>2018</v>
      </c>
      <c r="D171" s="75" t="s">
        <v>16</v>
      </c>
      <c r="E171" s="16" t="s">
        <v>174</v>
      </c>
      <c r="F171" s="17">
        <v>38</v>
      </c>
      <c r="G171" s="75" t="s">
        <v>110</v>
      </c>
      <c r="H171" s="75" t="s">
        <v>104</v>
      </c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No</v>
      </c>
      <c r="J171" s="18">
        <v>20206</v>
      </c>
      <c r="K171" s="18">
        <v>20206</v>
      </c>
      <c r="L171" s="35">
        <v>0.89</v>
      </c>
      <c r="M171" s="78">
        <f t="shared" si="25"/>
        <v>22703.370786516854</v>
      </c>
      <c r="N171" s="79">
        <f t="shared" si="26"/>
        <v>0.89</v>
      </c>
      <c r="O171" s="80">
        <f t="shared" si="21"/>
        <v>0</v>
      </c>
      <c r="P171" s="19">
        <v>938</v>
      </c>
      <c r="Q171" s="19">
        <v>0</v>
      </c>
      <c r="R171" s="81">
        <f t="shared" si="22"/>
        <v>938</v>
      </c>
      <c r="S171" s="82">
        <f t="shared" si="27"/>
        <v>0.4611955464746566</v>
      </c>
      <c r="T171" s="83" t="s">
        <v>171</v>
      </c>
      <c r="U171" s="83" t="s">
        <v>153</v>
      </c>
      <c r="V171" s="83" t="s">
        <v>156</v>
      </c>
      <c r="W171" s="113">
        <f t="shared" si="23"/>
        <v>45</v>
      </c>
      <c r="AA171" s="75" t="s">
        <v>104</v>
      </c>
      <c r="AB171" s="44">
        <v>0</v>
      </c>
    </row>
    <row r="172" spans="1:28" ht="15">
      <c r="A172" s="15">
        <f t="shared" si="24"/>
        <v>159</v>
      </c>
      <c r="B172" s="15" t="s">
        <v>414</v>
      </c>
      <c r="C172" s="16">
        <v>2019</v>
      </c>
      <c r="D172" s="75" t="s">
        <v>30</v>
      </c>
      <c r="E172" s="16" t="s">
        <v>277</v>
      </c>
      <c r="F172" s="17">
        <v>33</v>
      </c>
      <c r="G172" s="75" t="s">
        <v>103</v>
      </c>
      <c r="H172" s="75" t="s">
        <v>104</v>
      </c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No</v>
      </c>
      <c r="J172" s="18">
        <v>17787</v>
      </c>
      <c r="K172" s="18">
        <v>17310</v>
      </c>
      <c r="L172" s="35">
        <v>0.92</v>
      </c>
      <c r="M172" s="78">
        <f t="shared" si="25"/>
        <v>19333.695652173912</v>
      </c>
      <c r="N172" s="79">
        <f t="shared" si="26"/>
        <v>0.89532804857480186</v>
      </c>
      <c r="O172" s="80">
        <f t="shared" si="21"/>
        <v>477</v>
      </c>
      <c r="P172" s="19">
        <v>634</v>
      </c>
      <c r="Q172" s="19">
        <v>0</v>
      </c>
      <c r="R172" s="81">
        <f t="shared" si="22"/>
        <v>634</v>
      </c>
      <c r="S172" s="82">
        <f t="shared" si="27"/>
        <v>0.41474955842909783</v>
      </c>
      <c r="T172" s="83" t="s">
        <v>165</v>
      </c>
      <c r="U172" s="83" t="s">
        <v>153</v>
      </c>
      <c r="V172" s="83" t="s">
        <v>156</v>
      </c>
      <c r="W172" s="113">
        <f t="shared" si="23"/>
        <v>45</v>
      </c>
      <c r="AA172" s="75" t="s">
        <v>104</v>
      </c>
      <c r="AB172" s="44">
        <v>0</v>
      </c>
    </row>
    <row r="173" spans="1:28" ht="15">
      <c r="A173" s="15">
        <f t="shared" si="24"/>
        <v>160</v>
      </c>
      <c r="B173" s="15" t="s">
        <v>415</v>
      </c>
      <c r="C173" s="16">
        <v>2017</v>
      </c>
      <c r="D173" s="75" t="s">
        <v>17</v>
      </c>
      <c r="E173" s="16" t="s">
        <v>416</v>
      </c>
      <c r="F173" s="17">
        <v>22</v>
      </c>
      <c r="G173" s="75" t="s">
        <v>103</v>
      </c>
      <c r="H173" s="75" t="s">
        <v>104</v>
      </c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Yes</v>
      </c>
      <c r="J173" s="18">
        <v>13987</v>
      </c>
      <c r="K173" s="18">
        <v>12672</v>
      </c>
      <c r="L173" s="35">
        <v>1.02</v>
      </c>
      <c r="M173" s="78">
        <f t="shared" si="25"/>
        <v>13712.745098039215</v>
      </c>
      <c r="N173" s="79">
        <f t="shared" si="26"/>
        <v>0.92410381068134706</v>
      </c>
      <c r="O173" s="80">
        <f t="shared" si="21"/>
        <v>1315</v>
      </c>
      <c r="P173" s="19">
        <v>-405</v>
      </c>
      <c r="Q173" s="19">
        <v>1121</v>
      </c>
      <c r="R173" s="81">
        <f t="shared" si="22"/>
        <v>716</v>
      </c>
      <c r="S173" s="82">
        <f t="shared" si="27"/>
        <v>0.89595194894575481</v>
      </c>
      <c r="T173" s="83" t="s">
        <v>159</v>
      </c>
      <c r="U173" s="83" t="s">
        <v>153</v>
      </c>
      <c r="V173" s="83" t="s">
        <v>157</v>
      </c>
      <c r="W173" s="113">
        <f t="shared" ref="W173:W206" si="28">IF(AND(F173&gt;0,F173&lt;=30),30,IF(AND(F173&gt;=31,F173&lt;=45),45,IF(AND(F173&gt;=46,F173&lt;=60),60,IF(AND(F173&gt;=61,F173&lt;=90),90,IF(F173&gt;=91,91,0)))))</f>
        <v>30</v>
      </c>
      <c r="AA173" s="75" t="s">
        <v>104</v>
      </c>
      <c r="AB173" s="44">
        <v>0</v>
      </c>
    </row>
    <row r="174" spans="1:28" ht="15">
      <c r="A174" s="15">
        <f t="shared" si="24"/>
        <v>161</v>
      </c>
      <c r="B174" s="15" t="s">
        <v>417</v>
      </c>
      <c r="C174" s="16">
        <v>2020</v>
      </c>
      <c r="D174" s="75" t="s">
        <v>54</v>
      </c>
      <c r="E174" s="16" t="s">
        <v>418</v>
      </c>
      <c r="F174" s="17">
        <v>14</v>
      </c>
      <c r="G174" s="75" t="s">
        <v>103</v>
      </c>
      <c r="H174" s="75" t="s">
        <v>104</v>
      </c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No</v>
      </c>
      <c r="J174" s="18">
        <v>49614</v>
      </c>
      <c r="K174" s="18">
        <v>49614</v>
      </c>
      <c r="L174" s="35">
        <v>0.93</v>
      </c>
      <c r="M174" s="78">
        <f t="shared" si="25"/>
        <v>53348.38709677419</v>
      </c>
      <c r="N174" s="79">
        <f t="shared" si="26"/>
        <v>0.93</v>
      </c>
      <c r="O174" s="80">
        <f t="shared" si="21"/>
        <v>0</v>
      </c>
      <c r="P174" s="19">
        <v>7907</v>
      </c>
      <c r="Q174" s="19">
        <v>6484</v>
      </c>
      <c r="R174" s="81">
        <f t="shared" si="22"/>
        <v>14391</v>
      </c>
      <c r="S174" s="82">
        <f t="shared" si="27"/>
        <v>8.8727140699231715</v>
      </c>
      <c r="T174" s="83" t="s">
        <v>167</v>
      </c>
      <c r="U174" s="83" t="s">
        <v>153</v>
      </c>
      <c r="V174" s="83" t="s">
        <v>157</v>
      </c>
      <c r="W174" s="113">
        <f t="shared" si="28"/>
        <v>30</v>
      </c>
      <c r="AA174" s="75" t="s">
        <v>108</v>
      </c>
      <c r="AB174" s="44">
        <v>2000</v>
      </c>
    </row>
    <row r="175" spans="1:28" ht="15">
      <c r="A175" s="15">
        <f t="shared" si="24"/>
        <v>162</v>
      </c>
      <c r="B175" s="15" t="s">
        <v>419</v>
      </c>
      <c r="C175" s="16">
        <v>2021</v>
      </c>
      <c r="D175" s="75" t="s">
        <v>17</v>
      </c>
      <c r="E175" s="16" t="s">
        <v>269</v>
      </c>
      <c r="F175" s="17">
        <v>44</v>
      </c>
      <c r="G175" s="75" t="s">
        <v>110</v>
      </c>
      <c r="H175" s="75" t="s">
        <v>104</v>
      </c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Yes</v>
      </c>
      <c r="J175" s="18">
        <v>19487</v>
      </c>
      <c r="K175" s="18">
        <v>20487</v>
      </c>
      <c r="L175" s="35">
        <v>1</v>
      </c>
      <c r="M175" s="78">
        <f t="shared" si="25"/>
        <v>19487</v>
      </c>
      <c r="N175" s="79">
        <f t="shared" si="26"/>
        <v>1.0513162621234668</v>
      </c>
      <c r="O175" s="80">
        <f t="shared" si="21"/>
        <v>-1000</v>
      </c>
      <c r="P175" s="19">
        <v>1028</v>
      </c>
      <c r="Q175" s="19">
        <v>1272</v>
      </c>
      <c r="R175" s="81">
        <f t="shared" si="22"/>
        <v>2300</v>
      </c>
      <c r="S175" s="82">
        <f t="shared" si="27"/>
        <v>0.96706828810225698</v>
      </c>
      <c r="T175" s="83" t="s">
        <v>172</v>
      </c>
      <c r="U175" s="83" t="s">
        <v>153</v>
      </c>
      <c r="V175" s="83" t="s">
        <v>157</v>
      </c>
      <c r="W175" s="113">
        <f t="shared" si="28"/>
        <v>45</v>
      </c>
      <c r="AA175" s="75" t="s">
        <v>108</v>
      </c>
      <c r="AB175" s="44">
        <v>500</v>
      </c>
    </row>
    <row r="176" spans="1:28" ht="15">
      <c r="A176" s="15">
        <f t="shared" si="24"/>
        <v>163</v>
      </c>
      <c r="B176" s="15" t="s">
        <v>420</v>
      </c>
      <c r="C176" s="16">
        <v>2019</v>
      </c>
      <c r="D176" s="75" t="s">
        <v>17</v>
      </c>
      <c r="E176" s="16" t="s">
        <v>385</v>
      </c>
      <c r="F176" s="17">
        <v>4</v>
      </c>
      <c r="G176" s="75" t="s">
        <v>103</v>
      </c>
      <c r="H176" s="75" t="s">
        <v>104</v>
      </c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Yes</v>
      </c>
      <c r="J176" s="18">
        <v>33987</v>
      </c>
      <c r="K176" s="18">
        <v>33987</v>
      </c>
      <c r="L176" s="35">
        <v>0.97</v>
      </c>
      <c r="M176" s="78">
        <f t="shared" si="25"/>
        <v>35038.14432989691</v>
      </c>
      <c r="N176" s="79">
        <f t="shared" si="26"/>
        <v>0.97</v>
      </c>
      <c r="O176" s="80">
        <f t="shared" si="21"/>
        <v>0</v>
      </c>
      <c r="P176" s="19">
        <v>1152</v>
      </c>
      <c r="Q176" s="19">
        <v>1682</v>
      </c>
      <c r="R176" s="81">
        <f t="shared" si="22"/>
        <v>2834</v>
      </c>
      <c r="S176" s="82">
        <f t="shared" si="27"/>
        <v>7.7679305619004113</v>
      </c>
      <c r="T176" s="83" t="s">
        <v>170</v>
      </c>
      <c r="U176" s="83" t="s">
        <v>154</v>
      </c>
      <c r="V176" s="83" t="s">
        <v>155</v>
      </c>
      <c r="W176" s="113">
        <f t="shared" si="28"/>
        <v>30</v>
      </c>
      <c r="AA176" s="75" t="s">
        <v>108</v>
      </c>
      <c r="AB176" s="44">
        <v>-2000</v>
      </c>
    </row>
    <row r="177" spans="1:28" ht="15">
      <c r="A177" s="15">
        <f t="shared" si="24"/>
        <v>164</v>
      </c>
      <c r="B177" s="15" t="s">
        <v>421</v>
      </c>
      <c r="C177" s="16">
        <v>2015</v>
      </c>
      <c r="D177" s="75" t="s">
        <v>23</v>
      </c>
      <c r="E177" s="16" t="s">
        <v>272</v>
      </c>
      <c r="F177" s="17">
        <v>20</v>
      </c>
      <c r="G177" s="75" t="s">
        <v>110</v>
      </c>
      <c r="H177" s="75" t="s">
        <v>104</v>
      </c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Yes</v>
      </c>
      <c r="J177" s="18">
        <v>26887</v>
      </c>
      <c r="K177" s="18">
        <v>24900</v>
      </c>
      <c r="L177" s="35">
        <v>0.99</v>
      </c>
      <c r="M177" s="78">
        <f t="shared" si="25"/>
        <v>27158.585858585859</v>
      </c>
      <c r="N177" s="79">
        <f t="shared" si="26"/>
        <v>0.91683713318704207</v>
      </c>
      <c r="O177" s="80">
        <f t="shared" si="21"/>
        <v>1987</v>
      </c>
      <c r="P177" s="19">
        <v>3801</v>
      </c>
      <c r="Q177" s="19">
        <v>1564</v>
      </c>
      <c r="R177" s="81">
        <f t="shared" si="22"/>
        <v>5365</v>
      </c>
      <c r="S177" s="82">
        <f t="shared" si="27"/>
        <v>4.5769941703398267</v>
      </c>
      <c r="T177" s="83" t="s">
        <v>166</v>
      </c>
      <c r="U177" s="83" t="s">
        <v>154</v>
      </c>
      <c r="V177" s="83" t="s">
        <v>156</v>
      </c>
      <c r="W177" s="113">
        <f t="shared" si="28"/>
        <v>30</v>
      </c>
      <c r="AA177" s="75" t="s">
        <v>104</v>
      </c>
      <c r="AB177" s="44">
        <v>0</v>
      </c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121</v>
      </c>
      <c r="B214" s="86"/>
      <c r="C214" s="87"/>
      <c r="D214" s="88">
        <f>COUNTA(D14:D213)</f>
        <v>164</v>
      </c>
      <c r="E214" s="89" t="s">
        <v>122</v>
      </c>
      <c r="F214" s="90">
        <f>AVERAGE(F14:F213)</f>
        <v>31.646341463414632</v>
      </c>
      <c r="G214" s="91"/>
      <c r="H214" s="91"/>
      <c r="I214" s="92">
        <f>COUNTIF(I14:I213,"No")</f>
        <v>60</v>
      </c>
      <c r="J214" s="93">
        <f>AVERAGEIF(J14:J213,"&lt;&gt;BLANK")</f>
        <v>29691.25</v>
      </c>
      <c r="K214" s="94">
        <f>AVERAGEIF(K14:K213,"&lt;&gt;BLANK")</f>
        <v>29466.917743902439</v>
      </c>
      <c r="L214" s="95">
        <f>AVERAGEIF(L14:L213,"&lt;&gt;BLANK")</f>
        <v>0.95499999999999952</v>
      </c>
      <c r="M214" s="94">
        <f>J214/L214</f>
        <v>31090.314136125671</v>
      </c>
      <c r="N214" s="96">
        <f t="shared" ref="N214" si="36">K214/M214</f>
        <v>0.94778449696212907</v>
      </c>
      <c r="O214" s="94">
        <f>AVERAGEIF(O14:O213,"&lt;&gt;BLANK")</f>
        <v>224.33225609756101</v>
      </c>
      <c r="P214" s="94">
        <f>AVERAGEIF(P14:P213,"&lt;&gt;BLANK")</f>
        <v>520.81707317073176</v>
      </c>
      <c r="Q214" s="94">
        <f>AVERAGEIF(Q14:Q213,"&lt;&gt;BLANK")</f>
        <v>1823.1707317073171</v>
      </c>
      <c r="R214" s="97">
        <f>AVERAGEIF(R14:R213,"&lt;&gt;BLANK")</f>
        <v>2343.9878048780488</v>
      </c>
      <c r="S214" s="97" t="e">
        <f>AVERAGEIF(S14:S213,"&lt;&gt;BLANK")</f>
        <v>#VALUE!</v>
      </c>
      <c r="T214" s="98"/>
      <c r="U214" s="98"/>
      <c r="V214" s="98"/>
      <c r="W214" s="99">
        <f>AVERAGEIF(W164:W205,"&lt;&gt;0")</f>
        <v>34.285714285714285</v>
      </c>
      <c r="X214" s="99" t="e">
        <f>AVERAGEIF(X164:X205,"&lt;&gt;0")</f>
        <v>#DIV/0!</v>
      </c>
      <c r="AA214" s="100">
        <f>COUNTIF(AA14:AA213,"Yes")</f>
        <v>77</v>
      </c>
      <c r="AB214" s="101">
        <f>AVERAGEIF(AB14:AB213,"&lt;&gt;BLANK")</f>
        <v>-485.7560975609756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7" sqref="B17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Log'!I214/'Scoreboard Total'!B3</f>
        <v>0.36585365853658536</v>
      </c>
    </row>
    <row r="3" spans="1:2" ht="22.5" customHeight="1">
      <c r="A3" s="5" t="s">
        <v>125</v>
      </c>
      <c r="B3" s="6">
        <f>'Sales Log'!D214</f>
        <v>164</v>
      </c>
    </row>
    <row r="4" spans="1:2" ht="21.75" customHeight="1">
      <c r="A4" s="5" t="s">
        <v>126</v>
      </c>
      <c r="B4" s="7">
        <f>'Sales Log'!$F$214</f>
        <v>31.646341463414632</v>
      </c>
    </row>
    <row r="5" spans="1:2" ht="22.5" customHeight="1">
      <c r="A5" s="5" t="s">
        <v>127</v>
      </c>
      <c r="B5" s="8">
        <f>'Sales Log'!$J$214</f>
        <v>29691.25</v>
      </c>
    </row>
    <row r="6" spans="1:2" ht="22.5" customHeight="1">
      <c r="A6" s="5" t="s">
        <v>128</v>
      </c>
      <c r="B6" s="8">
        <f>'Sales Log'!$K$214</f>
        <v>29466.917743902439</v>
      </c>
    </row>
    <row r="7" spans="1:2" ht="22.5" customHeight="1">
      <c r="A7" s="5" t="s">
        <v>129</v>
      </c>
      <c r="B7" s="8">
        <f>'Sales Log'!$M$214</f>
        <v>31090.314136125671</v>
      </c>
    </row>
    <row r="8" spans="1:2" ht="22.5" customHeight="1">
      <c r="A8" s="5" t="s">
        <v>130</v>
      </c>
      <c r="B8" s="9">
        <f>'Sales Log'!L214</f>
        <v>0.95499999999999952</v>
      </c>
    </row>
    <row r="9" spans="1:2" ht="22.5" customHeight="1">
      <c r="A9" s="5" t="s">
        <v>131</v>
      </c>
      <c r="B9" s="9">
        <f>'Sales Log'!$N$214</f>
        <v>0.94778449696212907</v>
      </c>
    </row>
    <row r="10" spans="1:2" ht="22.5" customHeight="1">
      <c r="A10" s="5" t="s">
        <v>132</v>
      </c>
      <c r="B10" s="8">
        <f>'Sales Log'!$O$214</f>
        <v>224.33225609756101</v>
      </c>
    </row>
    <row r="11" spans="1:2" ht="22.5" customHeight="1">
      <c r="A11" s="5" t="s">
        <v>133</v>
      </c>
      <c r="B11" s="8">
        <f>'Sales Log'!$P$214</f>
        <v>520.81707317073176</v>
      </c>
    </row>
    <row r="12" spans="1:2" ht="22.5" customHeight="1">
      <c r="A12" s="5" t="s">
        <v>134</v>
      </c>
      <c r="B12" s="8">
        <f>'Sales Log'!$Q$214</f>
        <v>1823.1707317073171</v>
      </c>
    </row>
    <row r="13" spans="1:2" ht="22.5" customHeight="1">
      <c r="A13" s="5" t="s">
        <v>135</v>
      </c>
      <c r="B13" s="8">
        <f>'Sales Log'!$R$214</f>
        <v>2343.9878048780488</v>
      </c>
    </row>
    <row r="14" spans="1:2" ht="21.75" customHeight="1">
      <c r="A14" s="5" t="s">
        <v>136</v>
      </c>
      <c r="B14" s="10">
        <f>B13*B3</f>
        <v>384414</v>
      </c>
    </row>
    <row r="15" spans="1:2" ht="21.75" customHeight="1">
      <c r="A15" s="5" t="s">
        <v>90</v>
      </c>
      <c r="B15" s="9">
        <f>(B13/(B6)*(360/B4))</f>
        <v>0.90489799934411086</v>
      </c>
    </row>
    <row r="16" spans="1:2" ht="21.75" customHeight="1">
      <c r="A16" s="5" t="s">
        <v>137</v>
      </c>
      <c r="B16" s="9">
        <f>'Sales Log'!AA214/'Scoreboard Total'!B3</f>
        <v>0.46951219512195119</v>
      </c>
    </row>
    <row r="17" spans="1:2" ht="21.75" customHeight="1">
      <c r="A17" s="5" t="s">
        <v>138</v>
      </c>
      <c r="B17" s="45">
        <f>'Sales Log'!$AB$214</f>
        <v>-485.7560975609756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E2" sqref="E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92</v>
      </c>
      <c r="B2" s="22" t="s">
        <v>141</v>
      </c>
      <c r="C2" s="32" t="s">
        <v>5</v>
      </c>
      <c r="D2" s="32" t="s">
        <v>153</v>
      </c>
      <c r="E2" s="32" t="s">
        <v>196</v>
      </c>
      <c r="F2" s="32" t="s">
        <v>154</v>
      </c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Log'!$I$14:$I$213,"No")/B4</f>
        <v>0.36585365853658536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0.4050632911392405</v>
      </c>
      <c r="E3" s="14">
        <f>COUNTIFS('Sales Log'!$I$14:$I$213,"No",'Sales Log'!$U$14:$U$213,'Scoreboard DM'!E2)/E4</f>
        <v>0.35714285714285715</v>
      </c>
      <c r="F3" s="14">
        <f>COUNTIFS('Sales Log'!$I$14:$I$213,"No",'Sales Log'!$U$14:$U$213,'Scoreboard DM'!F2)/F4</f>
        <v>0.30232558139534882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125</v>
      </c>
      <c r="B4" s="6">
        <f>'Sales Log'!D214</f>
        <v>164</v>
      </c>
      <c r="C4" s="40">
        <f>COUNTIF('Sales Log'!$U$14:$U$213,C2)</f>
        <v>0</v>
      </c>
      <c r="D4" s="40">
        <f>COUNTIF('Sales Log'!$U$14:$U$213,D2)</f>
        <v>79</v>
      </c>
      <c r="E4" s="40">
        <f>COUNTIF('Sales Log'!$U$14:$U$213,E2)</f>
        <v>42</v>
      </c>
      <c r="F4" s="40">
        <f>COUNTIF('Sales Log'!$U$14:$U$213,F2)</f>
        <v>43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126</v>
      </c>
      <c r="B5" s="7">
        <f>'Sales Log'!$F$214</f>
        <v>31.646341463414632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31.50632911392405</v>
      </c>
      <c r="E5" s="24">
        <f ca="1">AVERAGEIF('Sales Log'!$U$14:$U$213,E2,'Sales Log'!$F$14:$F$209)</f>
        <v>30</v>
      </c>
      <c r="F5" s="24">
        <f ca="1">AVERAGEIF('Sales Log'!$U$14:$U$213,F2,'Sales Log'!$F$14:$F$209)</f>
        <v>33.511627906976742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127</v>
      </c>
      <c r="B6" s="8">
        <f>'Sales Log'!$J$214</f>
        <v>29691.25</v>
      </c>
      <c r="C6" s="8" t="e">
        <f>AVERAGEIF('Sales Log'!$U$14:$U$213,C2,'Sales Log'!$J$14:$J$213)</f>
        <v>#DIV/0!</v>
      </c>
      <c r="D6" s="8">
        <f>AVERAGEIF('Sales Log'!$U$14:$U$213,D2,'Sales Log'!$J$14:$J$213)</f>
        <v>26631.784810126581</v>
      </c>
      <c r="E6" s="8">
        <f>AVERAGEIF('Sales Log'!$U$14:$U$213,E2,'Sales Log'!$J$14:$J$213)</f>
        <v>32980.809523809527</v>
      </c>
      <c r="F6" s="8">
        <f>AVERAGEIF('Sales Log'!$U$14:$U$213,F2,'Sales Log'!$J$14:$J$213)</f>
        <v>32099.069767441859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128</v>
      </c>
      <c r="B7" s="8">
        <f>'Sales Log'!$K$214</f>
        <v>29466.917743902439</v>
      </c>
      <c r="C7" s="8" t="e">
        <f>AVERAGEIF('Sales Log'!$U$14:$U$213,C2,'Sales Log'!$K$14:$K$213)</f>
        <v>#DIV/0!</v>
      </c>
      <c r="D7" s="8">
        <f>AVERAGEIF('Sales Log'!$U$14:$U$213,D2,'Sales Log'!$K$14:$K$213)</f>
        <v>26336.917848101268</v>
      </c>
      <c r="E7" s="8">
        <f>AVERAGEIF('Sales Log'!$U$14:$U$213,E2,'Sales Log'!$K$14:$K$213)</f>
        <v>32677.476190476191</v>
      </c>
      <c r="F7" s="8">
        <f>AVERAGEIF('Sales Log'!$U$14:$U$213,F2,'Sales Log'!$K$14:$K$213)</f>
        <v>32081.488372093023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129</v>
      </c>
      <c r="B8" s="8">
        <f>'Sales Log'!$M$214</f>
        <v>31090.314136125671</v>
      </c>
      <c r="C8" s="8" t="e">
        <f>AVERAGEIF('Sales Log'!$U$14:$U$213,C2,'Sales Log'!$M$14:$M$213)</f>
        <v>#DIV/0!</v>
      </c>
      <c r="D8" s="8">
        <f>AVERAGEIF('Sales Log'!$U$14:$U$213,D2,'Sales Log'!$M$14:$M$213)</f>
        <v>27874.514582548662</v>
      </c>
      <c r="E8" s="8">
        <f>AVERAGEIF('Sales Log'!$U$14:$U$213,E2,'Sales Log'!$M$14:$M$213)</f>
        <v>34090.160443045294</v>
      </c>
      <c r="F8" s="8">
        <f>AVERAGEIF('Sales Log'!$U$14:$U$213,F2,'Sales Log'!$M$14:$M$213)</f>
        <v>33726.877633126031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130</v>
      </c>
      <c r="B9" s="9">
        <f>'Sales Log'!L214</f>
        <v>0.95499999999999952</v>
      </c>
      <c r="C9" s="14" t="e">
        <f>C6/C8</f>
        <v>#DIV/0!</v>
      </c>
      <c r="D9" s="14">
        <f t="shared" ref="D9:M9" si="0">D6/D8</f>
        <v>0.95541698963970068</v>
      </c>
      <c r="E9" s="14">
        <f t="shared" si="0"/>
        <v>0.96745832507625862</v>
      </c>
      <c r="F9" s="14">
        <f t="shared" si="0"/>
        <v>0.95173558953807913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Log'!$N$214</f>
        <v>0.94778449696212907</v>
      </c>
      <c r="C10" s="14" t="e">
        <f>C7/C8</f>
        <v>#DIV/0!</v>
      </c>
      <c r="D10" s="14">
        <f t="shared" ref="D10:M10" si="1">D7/D8</f>
        <v>0.94483861844862282</v>
      </c>
      <c r="E10" s="14">
        <f t="shared" si="1"/>
        <v>0.95856035189598809</v>
      </c>
      <c r="F10" s="14">
        <f t="shared" si="1"/>
        <v>0.95121430216780778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Log'!$O$214</f>
        <v>224.33225609756101</v>
      </c>
      <c r="C11" s="8" t="e">
        <f>AVERAGEIF('Sales Log'!$U$14:$U$213,C2,'Sales Log'!$O$14:$O$213)</f>
        <v>#DIV/0!</v>
      </c>
      <c r="D11" s="8">
        <f>AVERAGEIF('Sales Log'!$U$14:$U$213,D2,'Sales Log'!$O$14:$O$213)</f>
        <v>294.86696202531647</v>
      </c>
      <c r="E11" s="8">
        <f>AVERAGEIF('Sales Log'!$U$14:$U$213,E2,'Sales Log'!$O$14:$O$213)</f>
        <v>303.33333333333331</v>
      </c>
      <c r="F11" s="8">
        <f>AVERAGEIF('Sales Log'!$U$14:$U$213,F2,'Sales Log'!$O$14:$O$213)</f>
        <v>17.581395348837209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133</v>
      </c>
      <c r="B12" s="8">
        <f>'Sales Log'!$P$214</f>
        <v>520.81707317073176</v>
      </c>
      <c r="C12" s="8" t="e">
        <f>AVERAGEIF('Sales Log'!$U$14:$U$213,C2,'Sales Log'!$P$14:$P$213)</f>
        <v>#DIV/0!</v>
      </c>
      <c r="D12" s="8">
        <f>AVERAGEIF('Sales Log'!$U$14:$U$213,D2,'Sales Log'!$P$14:$P$213)</f>
        <v>578.55696202531647</v>
      </c>
      <c r="E12" s="8">
        <f>AVERAGEIF('Sales Log'!$U$14:$U$213,E2,'Sales Log'!$P$14:$P$213)</f>
        <v>1355.2380952380952</v>
      </c>
      <c r="F12" s="8">
        <f>AVERAGEIF('Sales Log'!$U$14:$U$213,F2,'Sales Log'!$P$14:$P$213)</f>
        <v>-400.27906976744185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134</v>
      </c>
      <c r="B13" s="8">
        <f>'Sales Log'!$Q$214</f>
        <v>1823.1707317073171</v>
      </c>
      <c r="C13" s="8" t="e">
        <f>AVERAGEIF('Sales Log'!$U$14:$U$213,C2,'Sales Log'!$Q$14:$Q$213)</f>
        <v>#DIV/0!</v>
      </c>
      <c r="D13" s="8">
        <f>AVERAGEIF('Sales Log'!$U$14:$U$213,D2,'Sales Log'!$Q$14:$Q$213)</f>
        <v>1794.9113924050632</v>
      </c>
      <c r="E13" s="8">
        <f>AVERAGEIF('Sales Log'!$U$14:$U$213,E2,'Sales Log'!$Q$14:$Q$213)</f>
        <v>1868.9285714285713</v>
      </c>
      <c r="F13" s="8">
        <f>AVERAGEIF('Sales Log'!$U$14:$U$213,F2,'Sales Log'!$Q$14:$Q$213)</f>
        <v>1830.3953488372092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135</v>
      </c>
      <c r="B14" s="8">
        <f>'Sales Log'!$R$214</f>
        <v>2343.9878048780488</v>
      </c>
      <c r="C14" s="8" t="e">
        <f>AVERAGEIF('Sales Log'!$U$14:$U$213,C2,'Sales Log'!$R$14:$R$213)</f>
        <v>#DIV/0!</v>
      </c>
      <c r="D14" s="8">
        <f>AVERAGEIF('Sales Log'!$U$14:$U$213,D2,'Sales Log'!$R$14:$R$213)</f>
        <v>2373.4683544303798</v>
      </c>
      <c r="E14" s="8">
        <f>AVERAGEIF('Sales Log'!$U$14:$U$213,E2,'Sales Log'!$R$14:$R$213)</f>
        <v>3224.1666666666665</v>
      </c>
      <c r="F14" s="8">
        <f>AVERAGEIF('Sales Log'!$U$14:$U$213,F2,'Sales Log'!$R$14:$R$213)</f>
        <v>1430.1162790697674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136</v>
      </c>
      <c r="B15" s="10">
        <f>B14*B4</f>
        <v>384414</v>
      </c>
      <c r="C15" s="10" t="e">
        <f>C14*C4</f>
        <v>#DIV/0!</v>
      </c>
      <c r="D15" s="10">
        <f t="shared" ref="D15:F15" si="2">D14*D4</f>
        <v>187504</v>
      </c>
      <c r="E15" s="10">
        <f t="shared" si="2"/>
        <v>135415</v>
      </c>
      <c r="F15" s="10">
        <f t="shared" si="2"/>
        <v>61495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0.90489799934411086</v>
      </c>
      <c r="C16" s="9" t="e">
        <f t="shared" ref="C16:M16" ca="1" si="5">(C14/(C7)*(360/C5))</f>
        <v>#DIV/0!</v>
      </c>
      <c r="D16" s="9">
        <f t="shared" ca="1" si="5"/>
        <v>1.0297295884107565</v>
      </c>
      <c r="E16" s="9">
        <f t="shared" ca="1" si="5"/>
        <v>1.1839959663493276</v>
      </c>
      <c r="F16" s="9">
        <f t="shared" ca="1" si="5"/>
        <v>0.47887682190516911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Log'!AA214/'Scoreboard Total'!B3</f>
        <v>0.46951219512195119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0.46835443037974683</v>
      </c>
      <c r="E17" s="9">
        <f>COUNTIFS('Sales Log'!$U$14:$U$213,'Scoreboard DM'!E$2,'Sales Log'!$AA$14:$AA$213,"Yes")/E$4</f>
        <v>0.47619047619047616</v>
      </c>
      <c r="F17" s="9">
        <f>COUNTIFS('Sales Log'!$U$14:$U$213,'Scoreboard DM'!F$2,'Sales Log'!$AA$14:$AA$213,"Yes")/F$4</f>
        <v>0.46511627906976744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138</v>
      </c>
      <c r="B18" s="114">
        <f>'Sales Log'!$AB$214</f>
        <v>-485.7560975609756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-358.88607594936707</v>
      </c>
      <c r="E18" s="114">
        <f>AVERAGEIF('Sales Log'!$U$14:$U$213,E2,'Sales Log'!$AB$14:$AB$213)</f>
        <v>-390.71428571428572</v>
      </c>
      <c r="F18" s="114">
        <f>AVERAGEIF('Sales Log'!$U$14:$U$213,F2,'Sales Log'!$AB$14:$AB$213)</f>
        <v>-811.67441860465112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Q4" sqref="Q4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158</v>
      </c>
      <c r="D2" s="31" t="s">
        <v>159</v>
      </c>
      <c r="E2" s="31" t="s">
        <v>160</v>
      </c>
      <c r="F2" s="31" t="s">
        <v>161</v>
      </c>
      <c r="G2" s="31" t="s">
        <v>162</v>
      </c>
      <c r="H2" s="31" t="s">
        <v>163</v>
      </c>
      <c r="I2" s="31" t="s">
        <v>164</v>
      </c>
      <c r="J2" s="31" t="s">
        <v>165</v>
      </c>
      <c r="K2" s="31" t="s">
        <v>166</v>
      </c>
      <c r="L2" s="31" t="s">
        <v>167</v>
      </c>
      <c r="M2" s="31" t="s">
        <v>168</v>
      </c>
      <c r="N2" s="31" t="s">
        <v>169</v>
      </c>
      <c r="O2" s="31" t="s">
        <v>170</v>
      </c>
      <c r="P2" s="31" t="s">
        <v>171</v>
      </c>
      <c r="Q2" s="31" t="s">
        <v>172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Log'!$I$14:$I$213,"No")/B4</f>
        <v>0.36585365853658536</v>
      </c>
      <c r="C3" s="14">
        <f>COUNTIFS('Sales Log'!$I$14:$I$213,"No",'Sales Log'!$T$14:$T$213,C2)/C4</f>
        <v>0.18181818181818182</v>
      </c>
      <c r="D3" s="14">
        <f>COUNTIFS('Sales Log'!$I$14:$I$213,"No",'Sales Log'!$T$14:$T$213,D2)/D4</f>
        <v>0.375</v>
      </c>
      <c r="E3" s="14">
        <f>COUNTIFS('Sales Log'!$I$14:$I$213,"No",'Sales Log'!$T$14:$T$213,E2)/E4</f>
        <v>0.5</v>
      </c>
      <c r="F3" s="14">
        <f>COUNTIFS('Sales Log'!$I$14:$I$213,"No",'Sales Log'!$T$14:$T$213,F2)/F4</f>
        <v>0.3125</v>
      </c>
      <c r="G3" s="14">
        <f>COUNTIFS('Sales Log'!$I$14:$I$213,"No",'Sales Log'!$T$14:$T$213,G2)/G4</f>
        <v>0.29411764705882354</v>
      </c>
      <c r="H3" s="14">
        <f>COUNTIFS('Sales Log'!$I$14:$I$213,"No",'Sales Log'!$T$14:$T$213,H2)/H4</f>
        <v>0</v>
      </c>
      <c r="I3" s="14">
        <f>COUNTIFS('Sales Log'!$I$14:$I$213,"No",'Sales Log'!$T$14:$T$213,I2)/I4</f>
        <v>0.2857142857142857</v>
      </c>
      <c r="J3" s="14">
        <f>COUNTIFS('Sales Log'!$I$14:$I$213,"No",'Sales Log'!$T$14:$T$213,J2)/J4</f>
        <v>0.25</v>
      </c>
      <c r="K3" s="14">
        <f>COUNTIFS('Sales Log'!$I$14:$I$213,"No",'Sales Log'!$T$14:$T$213,K2)/K4</f>
        <v>0.35294117647058826</v>
      </c>
      <c r="L3" s="14">
        <f>COUNTIFS('Sales Log'!$I$14:$I$213,"No",'Sales Log'!$T$14:$T$213,L2)/L4</f>
        <v>0.8</v>
      </c>
      <c r="M3" s="14">
        <f>COUNTIFS('Sales Log'!$I$14:$I$213,"No",'Sales Log'!$T$14:$T$213,M2)/M4</f>
        <v>0.5</v>
      </c>
      <c r="N3" s="14">
        <f>COUNTIFS('Sales Log'!$I$14:$I$213,"No",'Sales Log'!$T$14:$T$213,N2)/N4</f>
        <v>0.22222222222222221</v>
      </c>
      <c r="O3" s="14">
        <f>COUNTIFS('Sales Log'!$I$14:$I$213,"No",'Sales Log'!$T$14:$T$213,O2)/O4</f>
        <v>0.33333333333333331</v>
      </c>
      <c r="P3" s="14">
        <f>COUNTIFS('Sales Log'!$I$14:$I$213,"No",'Sales Log'!$T$14:$T$213,P2)/P4</f>
        <v>0.66666666666666663</v>
      </c>
      <c r="Q3" s="14">
        <f>COUNTIFS('Sales Log'!$I$14:$I$213,"No",'Sales Log'!$T$14:$T$213,Q2)/Q4</f>
        <v>0.125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125</v>
      </c>
      <c r="B4" s="6">
        <f>'Scoreboard Total'!B3</f>
        <v>164</v>
      </c>
      <c r="C4" s="39">
        <f>COUNTIF('Sales Log'!$T$14:$T$213,C2)</f>
        <v>11</v>
      </c>
      <c r="D4" s="39">
        <f>COUNTIF('Sales Log'!$T$14:$T$213,D2)</f>
        <v>16</v>
      </c>
      <c r="E4" s="39">
        <f>COUNTIF('Sales Log'!$T$14:$T$213,E2)</f>
        <v>16</v>
      </c>
      <c r="F4" s="39">
        <f>COUNTIF('Sales Log'!$T$14:$T$213,F2)</f>
        <v>16</v>
      </c>
      <c r="G4" s="39">
        <f>COUNTIF('Sales Log'!$T$14:$T$213,G2)</f>
        <v>17</v>
      </c>
      <c r="H4" s="39">
        <f>COUNTIF('Sales Log'!$T$14:$T$213,H2)</f>
        <v>1</v>
      </c>
      <c r="I4" s="39">
        <f>COUNTIF('Sales Log'!$T$14:$T$213,I2)</f>
        <v>7</v>
      </c>
      <c r="J4" s="39">
        <f>COUNTIF('Sales Log'!$T$14:$T$213,J2)</f>
        <v>8</v>
      </c>
      <c r="K4" s="39">
        <f>COUNTIF('Sales Log'!$T$14:$T$213,K2)</f>
        <v>17</v>
      </c>
      <c r="L4" s="39">
        <f>COUNTIF('Sales Log'!$T$14:$T$213,L2)</f>
        <v>5</v>
      </c>
      <c r="M4" s="39">
        <f>COUNTIF('Sales Log'!$T$14:$T$213,M2)</f>
        <v>16</v>
      </c>
      <c r="N4" s="39">
        <f>COUNTIF('Sales Log'!$T$14:$T$213,N2)</f>
        <v>9</v>
      </c>
      <c r="O4" s="39">
        <f>COUNTIF('Sales Log'!$T$14:$T$213,O2)</f>
        <v>9</v>
      </c>
      <c r="P4" s="39">
        <f>COUNTIF('Sales Log'!$T$14:$T$213,P2)</f>
        <v>6</v>
      </c>
      <c r="Q4" s="39">
        <f>COUNTIF('Sales Log'!$T$14:$T$213,Q2)</f>
        <v>8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126</v>
      </c>
      <c r="B5" s="7">
        <f>'Sales Log'!$F$214</f>
        <v>31.646341463414632</v>
      </c>
      <c r="C5" s="24">
        <f ca="1">AVERAGEIF('Sales Log'!$T$14:$T$213,C2,'Sales Log'!$F$14:$F$209)</f>
        <v>26</v>
      </c>
      <c r="D5" s="24">
        <f ca="1">AVERAGEIF('Sales Log'!$T$14:$T$213,D2,'Sales Log'!$F$14:$F$209)</f>
        <v>31.25</v>
      </c>
      <c r="E5" s="24">
        <f ca="1">AVERAGEIF('Sales Log'!$T$14:$T$213,E2,'Sales Log'!$F$14:$F$209)</f>
        <v>34.375</v>
      </c>
      <c r="F5" s="24">
        <f ca="1">AVERAGEIF('Sales Log'!$T$14:$T$213,F2,'Sales Log'!$F$14:$F$209)</f>
        <v>32.125</v>
      </c>
      <c r="G5" s="24">
        <f ca="1">AVERAGEIF('Sales Log'!$T$14:$T$213,G2,'Sales Log'!$F$14:$F$209)</f>
        <v>29.235294117647058</v>
      </c>
      <c r="H5" s="24">
        <f ca="1">AVERAGEIF('Sales Log'!$T$14:$T$213,H2,'Sales Log'!$F$14:$F$209)</f>
        <v>6</v>
      </c>
      <c r="I5" s="24">
        <f ca="1">AVERAGEIF('Sales Log'!$T$14:$T$213,I2,'Sales Log'!$F$14:$F$209)</f>
        <v>42.142857142857146</v>
      </c>
      <c r="J5" s="24">
        <f ca="1">AVERAGEIF('Sales Log'!$T$14:$T$213,J2,'Sales Log'!$F$14:$F$209)</f>
        <v>35.25</v>
      </c>
      <c r="K5" s="24">
        <f ca="1">AVERAGEIF('Sales Log'!$T$14:$T$213,K2,'Sales Log'!$F$14:$F$209)</f>
        <v>26.647058823529413</v>
      </c>
      <c r="L5" s="24">
        <f ca="1">AVERAGEIF('Sales Log'!$T$14:$T$213,L2,'Sales Log'!$F$14:$F$209)</f>
        <v>42.8</v>
      </c>
      <c r="M5" s="24">
        <f ca="1">AVERAGEIF('Sales Log'!$T$14:$T$213,M2,'Sales Log'!$F$14:$F$209)</f>
        <v>30.75</v>
      </c>
      <c r="N5" s="24">
        <f ca="1">AVERAGEIF('Sales Log'!$T$14:$T$213,N2,'Sales Log'!$F$14:$F$209)</f>
        <v>32.111111111111114</v>
      </c>
      <c r="O5" s="24">
        <f ca="1">AVERAGEIF('Sales Log'!$T$14:$T$213,O2,'Sales Log'!$F$14:$F$209)</f>
        <v>33</v>
      </c>
      <c r="P5" s="24">
        <f ca="1">AVERAGEIF('Sales Log'!$T$14:$T$213,P2,'Sales Log'!$F$14:$F$209)</f>
        <v>29.5</v>
      </c>
      <c r="Q5" s="24">
        <f ca="1">AVERAGEIF('Sales Log'!$T$14:$T$213,Q2,'Sales Log'!$F$14:$F$209)</f>
        <v>33.625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127</v>
      </c>
      <c r="B6" s="8">
        <f>'Sales Log'!$J$214</f>
        <v>29691.25</v>
      </c>
      <c r="C6" s="8">
        <f>AVERAGEIF('Sales Log'!$T$14:$T$213,C2,'Sales Log'!$J$14:$J$213)</f>
        <v>33859.818181818184</v>
      </c>
      <c r="D6" s="8">
        <f>AVERAGEIF('Sales Log'!$T$14:$T$213,D2,'Sales Log'!$J$14:$J$213)</f>
        <v>24404.6875</v>
      </c>
      <c r="E6" s="8">
        <f>AVERAGEIF('Sales Log'!$T$14:$T$213,E2,'Sales Log'!$J$14:$J$213)</f>
        <v>34132.6875</v>
      </c>
      <c r="F6" s="8">
        <f>AVERAGEIF('Sales Log'!$T$14:$T$213,F2,'Sales Log'!$J$14:$J$213)</f>
        <v>31861.4375</v>
      </c>
      <c r="G6" s="8">
        <f>AVERAGEIF('Sales Log'!$T$14:$T$213,G2,'Sales Log'!$J$14:$J$213)</f>
        <v>27386.764705882353</v>
      </c>
      <c r="H6" s="8">
        <f>AVERAGEIF('Sales Log'!$T$14:$T$213,H2,'Sales Log'!$J$14:$J$213)</f>
        <v>34987</v>
      </c>
      <c r="I6" s="8">
        <f>AVERAGEIF('Sales Log'!$T$14:$T$213,I2,'Sales Log'!$J$14:$J$213)</f>
        <v>39997</v>
      </c>
      <c r="J6" s="8">
        <f>AVERAGEIF('Sales Log'!$T$14:$T$213,J2,'Sales Log'!$J$14:$J$213)</f>
        <v>22637.375</v>
      </c>
      <c r="K6" s="8">
        <f>AVERAGEIF('Sales Log'!$T$14:$T$213,K2,'Sales Log'!$J$14:$J$213)</f>
        <v>32863.882352941175</v>
      </c>
      <c r="L6" s="8">
        <f>AVERAGEIF('Sales Log'!$T$14:$T$213,L2,'Sales Log'!$J$14:$J$213)</f>
        <v>25114.400000000001</v>
      </c>
      <c r="M6" s="8">
        <f>AVERAGEIF('Sales Log'!$T$14:$T$213,M2,'Sales Log'!$J$14:$J$213)</f>
        <v>25815.75</v>
      </c>
      <c r="N6" s="8">
        <f>AVERAGEIF('Sales Log'!$T$14:$T$213,N2,'Sales Log'!$J$14:$J$213)</f>
        <v>28766.444444444445</v>
      </c>
      <c r="O6" s="8">
        <f>AVERAGEIF('Sales Log'!$T$14:$T$213,O2,'Sales Log'!$J$14:$J$213)</f>
        <v>38463.222222222219</v>
      </c>
      <c r="P6" s="8">
        <f>AVERAGEIF('Sales Log'!$T$14:$T$213,P2,'Sales Log'!$J$14:$J$213)</f>
        <v>27187.166666666668</v>
      </c>
      <c r="Q6" s="8">
        <f>AVERAGEIF('Sales Log'!$T$14:$T$213,Q2,'Sales Log'!$J$14:$J$213)</f>
        <v>21388.375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128</v>
      </c>
      <c r="B7" s="8">
        <f>'Sales Log'!$K$214</f>
        <v>29466.917743902439</v>
      </c>
      <c r="C7" s="8">
        <f>AVERAGEIF('Sales Log'!$T$14:$T$213,C2,'Sales Log'!$K$14:$K$213)</f>
        <v>33009.818181818184</v>
      </c>
      <c r="D7" s="8">
        <f>AVERAGEIF('Sales Log'!$T$14:$T$213,D2,'Sales Log'!$K$14:$K$213)</f>
        <v>24533.5625</v>
      </c>
      <c r="E7" s="8">
        <f>AVERAGEIF('Sales Log'!$T$14:$T$213,E2,'Sales Log'!$K$14:$K$213)</f>
        <v>34166.625</v>
      </c>
      <c r="F7" s="8">
        <f>AVERAGEIF('Sales Log'!$T$14:$T$213,F2,'Sales Log'!$K$14:$K$213)</f>
        <v>32187.0625</v>
      </c>
      <c r="G7" s="8">
        <f>AVERAGEIF('Sales Log'!$T$14:$T$213,G2,'Sales Log'!$K$14:$K$213)</f>
        <v>26645.411764705881</v>
      </c>
      <c r="H7" s="8">
        <f>AVERAGEIF('Sales Log'!$T$14:$T$213,H2,'Sales Log'!$K$14:$K$213)</f>
        <v>34000</v>
      </c>
      <c r="I7" s="8">
        <f>AVERAGEIF('Sales Log'!$T$14:$T$213,I2,'Sales Log'!$K$14:$K$213)</f>
        <v>40570.285714285717</v>
      </c>
      <c r="J7" s="8">
        <f>AVERAGEIF('Sales Log'!$T$14:$T$213,J2,'Sales Log'!$K$14:$K$213)</f>
        <v>22876.125</v>
      </c>
      <c r="K7" s="8">
        <f>AVERAGEIF('Sales Log'!$T$14:$T$213,K2,'Sales Log'!$K$14:$K$213)</f>
        <v>32421.411764705881</v>
      </c>
      <c r="L7" s="8">
        <f>AVERAGEIF('Sales Log'!$T$14:$T$213,L2,'Sales Log'!$K$14:$K$213)</f>
        <v>25309.4</v>
      </c>
      <c r="M7" s="8">
        <f>AVERAGEIF('Sales Log'!$T$14:$T$213,M2,'Sales Log'!$K$14:$K$213)</f>
        <v>25211.656875000001</v>
      </c>
      <c r="N7" s="8">
        <f>AVERAGEIF('Sales Log'!$T$14:$T$213,N2,'Sales Log'!$K$14:$K$213)</f>
        <v>27843.333333333332</v>
      </c>
      <c r="O7" s="8">
        <f>AVERAGEIF('Sales Log'!$T$14:$T$213,O2,'Sales Log'!$K$14:$K$213)</f>
        <v>38020.222222222219</v>
      </c>
      <c r="P7" s="8">
        <f>AVERAGEIF('Sales Log'!$T$14:$T$213,P2,'Sales Log'!$K$14:$K$213)</f>
        <v>27232.333333333332</v>
      </c>
      <c r="Q7" s="8">
        <f>AVERAGEIF('Sales Log'!$T$14:$T$213,Q2,'Sales Log'!$K$14:$K$213)</f>
        <v>20844.375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129</v>
      </c>
      <c r="B8" s="8">
        <f>'Sales Log'!$M$214</f>
        <v>31090.314136125671</v>
      </c>
      <c r="C8" s="8">
        <f>AVERAGEIF('Sales Log'!$T$14:$T$213,C2,'Sales Log'!$M$14:$M$213)</f>
        <v>35507.004425721621</v>
      </c>
      <c r="D8" s="8">
        <f>AVERAGEIF('Sales Log'!$T$14:$T$213,D2,'Sales Log'!$M$14:$M$213)</f>
        <v>24951.50215890256</v>
      </c>
      <c r="E8" s="8">
        <f>AVERAGEIF('Sales Log'!$T$14:$T$213,E2,'Sales Log'!$M$14:$M$213)</f>
        <v>35971.019261938622</v>
      </c>
      <c r="F8" s="8">
        <f>AVERAGEIF('Sales Log'!$T$14:$T$213,F2,'Sales Log'!$M$14:$M$213)</f>
        <v>32932.655685344333</v>
      </c>
      <c r="G8" s="8">
        <f>AVERAGEIF('Sales Log'!$T$14:$T$213,G2,'Sales Log'!$M$14:$M$213)</f>
        <v>28133.605924679261</v>
      </c>
      <c r="H8" s="8">
        <f>AVERAGEIF('Sales Log'!$T$14:$T$213,H2,'Sales Log'!$M$14:$M$213)</f>
        <v>34640.594059405943</v>
      </c>
      <c r="I8" s="8">
        <f>AVERAGEIF('Sales Log'!$T$14:$T$213,I2,'Sales Log'!$M$14:$M$213)</f>
        <v>42324.218469295265</v>
      </c>
      <c r="J8" s="8">
        <f>AVERAGEIF('Sales Log'!$T$14:$T$213,J2,'Sales Log'!$M$14:$M$213)</f>
        <v>24532.820539335255</v>
      </c>
      <c r="K8" s="8">
        <f>AVERAGEIF('Sales Log'!$T$14:$T$213,K2,'Sales Log'!$M$14:$M$213)</f>
        <v>33785.534932875766</v>
      </c>
      <c r="L8" s="8">
        <f>AVERAGEIF('Sales Log'!$T$14:$T$213,L2,'Sales Log'!$M$14:$M$213)</f>
        <v>27510.941803033173</v>
      </c>
      <c r="M8" s="8">
        <f>AVERAGEIF('Sales Log'!$T$14:$T$213,M2,'Sales Log'!$M$14:$M$213)</f>
        <v>27001.831565758424</v>
      </c>
      <c r="N8" s="8">
        <f>AVERAGEIF('Sales Log'!$T$14:$T$213,N2,'Sales Log'!$M$14:$M$213)</f>
        <v>29823.006372646123</v>
      </c>
      <c r="O8" s="8">
        <f>AVERAGEIF('Sales Log'!$T$14:$T$213,O2,'Sales Log'!$M$14:$M$213)</f>
        <v>39807.1604429781</v>
      </c>
      <c r="P8" s="8">
        <f>AVERAGEIF('Sales Log'!$T$14:$T$213,P2,'Sales Log'!$M$14:$M$213)</f>
        <v>29221.399305087281</v>
      </c>
      <c r="Q8" s="8">
        <f>AVERAGEIF('Sales Log'!$T$14:$T$213,Q2,'Sales Log'!$M$14:$M$213)</f>
        <v>22525.287970967518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130</v>
      </c>
      <c r="B9" s="9">
        <f>'Sales Log'!L214</f>
        <v>0.95499999999999952</v>
      </c>
      <c r="C9" s="14">
        <f>C6/C8</f>
        <v>0.95360954069360471</v>
      </c>
      <c r="D9" s="14">
        <f t="shared" ref="D9:BK9" si="0">D6/D8</f>
        <v>0.97808490024287131</v>
      </c>
      <c r="E9" s="14">
        <f t="shared" si="0"/>
        <v>0.94889408752773974</v>
      </c>
      <c r="F9" s="14">
        <f t="shared" si="0"/>
        <v>0.9674724627257727</v>
      </c>
      <c r="G9" s="14">
        <f t="shared" si="0"/>
        <v>0.97345376839370001</v>
      </c>
      <c r="H9" s="14">
        <f t="shared" si="0"/>
        <v>1.01</v>
      </c>
      <c r="I9" s="14">
        <f t="shared" si="0"/>
        <v>0.94501449634602042</v>
      </c>
      <c r="J9" s="14">
        <f t="shared" si="0"/>
        <v>0.92273837668619685</v>
      </c>
      <c r="K9" s="14">
        <f t="shared" si="0"/>
        <v>0.97272049764001944</v>
      </c>
      <c r="L9" s="14">
        <f t="shared" si="0"/>
        <v>0.9128876859181555</v>
      </c>
      <c r="M9" s="14">
        <f t="shared" si="0"/>
        <v>0.95607403287181014</v>
      </c>
      <c r="N9" s="14">
        <f t="shared" si="0"/>
        <v>0.96457225287753801</v>
      </c>
      <c r="O9" s="14">
        <f t="shared" si="0"/>
        <v>0.96623878202312341</v>
      </c>
      <c r="P9" s="14">
        <f t="shared" si="0"/>
        <v>0.9303855158617792</v>
      </c>
      <c r="Q9" s="14">
        <f t="shared" si="0"/>
        <v>0.94952726143022603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Log'!$N$214</f>
        <v>0.94778449696212907</v>
      </c>
      <c r="C10" s="14">
        <f>C7/C8</f>
        <v>0.92967060206029517</v>
      </c>
      <c r="D10" s="14">
        <f t="shared" ref="D10:BK10" si="1">D7/D8</f>
        <v>0.98324991993504318</v>
      </c>
      <c r="E10" s="14">
        <f t="shared" si="1"/>
        <v>0.94983755537203052</v>
      </c>
      <c r="F10" s="14">
        <f t="shared" si="1"/>
        <v>0.97736006496202077</v>
      </c>
      <c r="G10" s="14">
        <f t="shared" si="1"/>
        <v>0.94710261585529953</v>
      </c>
      <c r="H10" s="14">
        <f t="shared" si="1"/>
        <v>0.98150741704061506</v>
      </c>
      <c r="I10" s="14">
        <f t="shared" si="1"/>
        <v>0.95855959499212107</v>
      </c>
      <c r="J10" s="14">
        <f t="shared" si="1"/>
        <v>0.93247023770956328</v>
      </c>
      <c r="K10" s="14">
        <f t="shared" si="1"/>
        <v>0.95962404706984539</v>
      </c>
      <c r="L10" s="14">
        <f t="shared" si="1"/>
        <v>0.91997577477371406</v>
      </c>
      <c r="M10" s="14">
        <f t="shared" si="1"/>
        <v>0.93370173106965892</v>
      </c>
      <c r="N10" s="14">
        <f t="shared" si="1"/>
        <v>0.93361926646239923</v>
      </c>
      <c r="O10" s="14">
        <f t="shared" si="1"/>
        <v>0.95511013091939612</v>
      </c>
      <c r="P10" s="14">
        <f t="shared" si="1"/>
        <v>0.9319311867653215</v>
      </c>
      <c r="Q10" s="14">
        <f t="shared" si="1"/>
        <v>0.92537662678790078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Log'!$O$214</f>
        <v>224.33225609756101</v>
      </c>
      <c r="C11" s="8">
        <f>AVERAGEIF('Sales Log'!$T$14:$T$213,C2,'Sales Log'!$O$14:$O$213)</f>
        <v>850</v>
      </c>
      <c r="D11" s="8">
        <f>AVERAGEIF('Sales Log'!$T$14:$T$213,D2,'Sales Log'!$O$14:$O$213)</f>
        <v>-128.875</v>
      </c>
      <c r="E11" s="8">
        <f>AVERAGEIF('Sales Log'!$T$14:$T$213,E2,'Sales Log'!$O$14:$O$213)</f>
        <v>-33.9375</v>
      </c>
      <c r="F11" s="8">
        <f>AVERAGEIF('Sales Log'!$T$14:$T$213,F2,'Sales Log'!$O$14:$O$213)</f>
        <v>-325.625</v>
      </c>
      <c r="G11" s="8">
        <f>AVERAGEIF('Sales Log'!$T$14:$T$213,G2,'Sales Log'!$O$14:$O$213)</f>
        <v>741.35294117647061</v>
      </c>
      <c r="H11" s="8">
        <f>AVERAGEIF('Sales Log'!$T$14:$T$213,H2,'Sales Log'!$O$14:$O$213)</f>
        <v>987</v>
      </c>
      <c r="I11" s="8">
        <f>AVERAGEIF('Sales Log'!$T$14:$T$213,I2,'Sales Log'!$O$14:$O$213)</f>
        <v>-573.28571428571433</v>
      </c>
      <c r="J11" s="8">
        <f>AVERAGEIF('Sales Log'!$T$14:$T$213,J2,'Sales Log'!$O$14:$O$213)</f>
        <v>-238.75</v>
      </c>
      <c r="K11" s="8">
        <f>AVERAGEIF('Sales Log'!$T$14:$T$213,K2,'Sales Log'!$O$14:$O$213)</f>
        <v>442.47058823529414</v>
      </c>
      <c r="L11" s="8">
        <f>AVERAGEIF('Sales Log'!$T$14:$T$213,L2,'Sales Log'!$O$14:$O$213)</f>
        <v>-195</v>
      </c>
      <c r="M11" s="8">
        <f>AVERAGEIF('Sales Log'!$T$14:$T$213,M2,'Sales Log'!$O$14:$O$213)</f>
        <v>604.0931250000001</v>
      </c>
      <c r="N11" s="8">
        <f>AVERAGEIF('Sales Log'!$T$14:$T$213,N2,'Sales Log'!$O$14:$O$213)</f>
        <v>923.11111111111109</v>
      </c>
      <c r="O11" s="8">
        <f>AVERAGEIF('Sales Log'!$T$14:$T$213,O2,'Sales Log'!$O$14:$O$213)</f>
        <v>443</v>
      </c>
      <c r="P11" s="8">
        <f>AVERAGEIF('Sales Log'!$T$14:$T$213,P2,'Sales Log'!$O$14:$O$213)</f>
        <v>-45.166666666666664</v>
      </c>
      <c r="Q11" s="8">
        <f>AVERAGEIF('Sales Log'!$T$14:$T$213,Q2,'Sales Log'!$O$14:$O$213)</f>
        <v>544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133</v>
      </c>
      <c r="B12" s="8">
        <f>'Sales Log'!$P$214</f>
        <v>520.81707317073176</v>
      </c>
      <c r="C12" s="8">
        <f>AVERAGEIF('Sales Log'!$T$14:$T$213,C2,'Sales Log'!$P$14:$P$213)</f>
        <v>981.63636363636363</v>
      </c>
      <c r="D12" s="8">
        <f>AVERAGEIF('Sales Log'!$T$14:$T$213,D2,'Sales Log'!$P$14:$P$213)</f>
        <v>-620.875</v>
      </c>
      <c r="E12" s="8">
        <f>AVERAGEIF('Sales Log'!$T$14:$T$213,E2,'Sales Log'!$P$14:$P$213)</f>
        <v>15.875</v>
      </c>
      <c r="F12" s="8">
        <f>AVERAGEIF('Sales Log'!$T$14:$T$213,F2,'Sales Log'!$P$14:$P$213)</f>
        <v>1197.6875</v>
      </c>
      <c r="G12" s="8">
        <f>AVERAGEIF('Sales Log'!$T$14:$T$213,G2,'Sales Log'!$P$14:$P$213)</f>
        <v>978.70588235294122</v>
      </c>
      <c r="H12" s="8">
        <f>AVERAGEIF('Sales Log'!$T$14:$T$213,H2,'Sales Log'!$P$14:$P$213)</f>
        <v>3211</v>
      </c>
      <c r="I12" s="8">
        <f>AVERAGEIF('Sales Log'!$T$14:$T$213,I2,'Sales Log'!$P$14:$P$213)</f>
        <v>285.42857142857144</v>
      </c>
      <c r="J12" s="8">
        <f>AVERAGEIF('Sales Log'!$T$14:$T$213,J2,'Sales Log'!$P$14:$P$213)</f>
        <v>2.625</v>
      </c>
      <c r="K12" s="8">
        <f>AVERAGEIF('Sales Log'!$T$14:$T$213,K2,'Sales Log'!$P$14:$P$213)</f>
        <v>2348.3529411764707</v>
      </c>
      <c r="L12" s="8">
        <f>AVERAGEIF('Sales Log'!$T$14:$T$213,L2,'Sales Log'!$P$14:$P$213)</f>
        <v>1035.8</v>
      </c>
      <c r="M12" s="8">
        <f>AVERAGEIF('Sales Log'!$T$14:$T$213,M2,'Sales Log'!$P$14:$P$213)</f>
        <v>186.25</v>
      </c>
      <c r="N12" s="8">
        <f>AVERAGEIF('Sales Log'!$T$14:$T$213,N2,'Sales Log'!$P$14:$P$213)</f>
        <v>-501.55555555555554</v>
      </c>
      <c r="O12" s="8">
        <f>AVERAGEIF('Sales Log'!$T$14:$T$213,O2,'Sales Log'!$P$14:$P$213)</f>
        <v>543.88888888888891</v>
      </c>
      <c r="P12" s="8">
        <f>AVERAGEIF('Sales Log'!$T$14:$T$213,P2,'Sales Log'!$P$14:$P$213)</f>
        <v>161.5</v>
      </c>
      <c r="Q12" s="8">
        <f>AVERAGEIF('Sales Log'!$T$14:$T$213,Q2,'Sales Log'!$P$14:$P$213)</f>
        <v>-95.25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134</v>
      </c>
      <c r="B13" s="8">
        <f>'Sales Log'!$Q$214</f>
        <v>1823.1707317073171</v>
      </c>
      <c r="C13" s="8">
        <f>AVERAGEIF('Sales Log'!$T$14:$T$213,C2,'Sales Log'!$Q$14:$Q$213)</f>
        <v>1725.6363636363637</v>
      </c>
      <c r="D13" s="8">
        <f>AVERAGEIF('Sales Log'!$T$14:$T$213,D2,'Sales Log'!$Q$14:$Q$213)</f>
        <v>1525.875</v>
      </c>
      <c r="E13" s="8">
        <f>AVERAGEIF('Sales Log'!$T$14:$T$213,E2,'Sales Log'!$Q$14:$Q$213)</f>
        <v>2371.8125</v>
      </c>
      <c r="F13" s="8">
        <f>AVERAGEIF('Sales Log'!$T$14:$T$213,F2,'Sales Log'!$Q$14:$Q$213)</f>
        <v>1790.5625</v>
      </c>
      <c r="G13" s="8">
        <f>AVERAGEIF('Sales Log'!$T$14:$T$213,G2,'Sales Log'!$Q$14:$Q$213)</f>
        <v>1629.3529411764705</v>
      </c>
      <c r="H13" s="8">
        <f>AVERAGEIF('Sales Log'!$T$14:$T$213,H2,'Sales Log'!$Q$14:$Q$213)</f>
        <v>1533</v>
      </c>
      <c r="I13" s="8">
        <f>AVERAGEIF('Sales Log'!$T$14:$T$213,I2,'Sales Log'!$Q$14:$Q$213)</f>
        <v>2307.1428571428573</v>
      </c>
      <c r="J13" s="8">
        <f>AVERAGEIF('Sales Log'!$T$14:$T$213,J2,'Sales Log'!$Q$14:$Q$213)</f>
        <v>1945</v>
      </c>
      <c r="K13" s="8">
        <f>AVERAGEIF('Sales Log'!$T$14:$T$213,K2,'Sales Log'!$Q$14:$Q$213)</f>
        <v>936.64705882352939</v>
      </c>
      <c r="L13" s="8">
        <f>AVERAGEIF('Sales Log'!$T$14:$T$213,L2,'Sales Log'!$Q$14:$Q$213)</f>
        <v>2030.2</v>
      </c>
      <c r="M13" s="8">
        <f>AVERAGEIF('Sales Log'!$T$14:$T$213,M2,'Sales Log'!$Q$14:$Q$213)</f>
        <v>2025.375</v>
      </c>
      <c r="N13" s="8">
        <f>AVERAGEIF('Sales Log'!$T$14:$T$213,N2,'Sales Log'!$Q$14:$Q$213)</f>
        <v>1981</v>
      </c>
      <c r="O13" s="8">
        <f>AVERAGEIF('Sales Log'!$T$14:$T$213,O2,'Sales Log'!$Q$14:$Q$213)</f>
        <v>2358.2222222222222</v>
      </c>
      <c r="P13" s="8">
        <f>AVERAGEIF('Sales Log'!$T$14:$T$213,P2,'Sales Log'!$Q$14:$Q$213)</f>
        <v>1823.5</v>
      </c>
      <c r="Q13" s="8">
        <f>AVERAGEIF('Sales Log'!$T$14:$T$213,Q2,'Sales Log'!$Q$14:$Q$213)</f>
        <v>1481.75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135</v>
      </c>
      <c r="B14" s="8">
        <f>'Sales Log'!$R$214</f>
        <v>2343.9878048780488</v>
      </c>
      <c r="C14" s="8">
        <f>AVERAGEIF('Sales Log'!$T$14:$T$213,C2,'Sales Log'!$R$14:$R$213)</f>
        <v>2707.2727272727275</v>
      </c>
      <c r="D14" s="8">
        <f>AVERAGEIF('Sales Log'!$T$14:$T$213,D2,'Sales Log'!$R$14:$R$213)</f>
        <v>905</v>
      </c>
      <c r="E14" s="8">
        <f>AVERAGEIF('Sales Log'!$T$14:$T$213,E2,'Sales Log'!$R$14:$R$213)</f>
        <v>2387.6875</v>
      </c>
      <c r="F14" s="8">
        <f>AVERAGEIF('Sales Log'!$T$14:$T$213,F2,'Sales Log'!$R$14:$R$213)</f>
        <v>2988.25</v>
      </c>
      <c r="G14" s="8">
        <f>AVERAGEIF('Sales Log'!$T$14:$T$213,G2,'Sales Log'!$R$14:$R$213)</f>
        <v>2608.0588235294117</v>
      </c>
      <c r="H14" s="8">
        <f>AVERAGEIF('Sales Log'!$T$14:$T$213,H2,'Sales Log'!$R$14:$R$213)</f>
        <v>4744</v>
      </c>
      <c r="I14" s="8">
        <f>AVERAGEIF('Sales Log'!$T$14:$T$213,I2,'Sales Log'!$R$14:$R$213)</f>
        <v>2592.5714285714284</v>
      </c>
      <c r="J14" s="8">
        <f>AVERAGEIF('Sales Log'!$T$14:$T$213,J2,'Sales Log'!$R$14:$R$213)</f>
        <v>1947.625</v>
      </c>
      <c r="K14" s="8">
        <f>AVERAGEIF('Sales Log'!$T$14:$T$213,K2,'Sales Log'!$R$14:$R$213)</f>
        <v>3285</v>
      </c>
      <c r="L14" s="8">
        <f>AVERAGEIF('Sales Log'!$T$14:$T$213,L2,'Sales Log'!$R$14:$R$213)</f>
        <v>3066</v>
      </c>
      <c r="M14" s="8">
        <f>AVERAGEIF('Sales Log'!$T$14:$T$213,M2,'Sales Log'!$R$14:$R$213)</f>
        <v>2211.625</v>
      </c>
      <c r="N14" s="8">
        <f>AVERAGEIF('Sales Log'!$T$14:$T$213,N2,'Sales Log'!$R$14:$R$213)</f>
        <v>1479.4444444444443</v>
      </c>
      <c r="O14" s="8">
        <f>AVERAGEIF('Sales Log'!$T$14:$T$213,O2,'Sales Log'!$R$14:$R$213)</f>
        <v>2902.1111111111113</v>
      </c>
      <c r="P14" s="8">
        <f>AVERAGEIF('Sales Log'!$T$14:$T$213,P2,'Sales Log'!$R$14:$R$213)</f>
        <v>1985</v>
      </c>
      <c r="Q14" s="8">
        <f>AVERAGEIF('Sales Log'!$T$14:$T$213,Q2,'Sales Log'!$R$14:$R$213)</f>
        <v>1386.5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136</v>
      </c>
      <c r="B15" s="10">
        <f>B14*B4</f>
        <v>384414</v>
      </c>
      <c r="C15" s="10">
        <f>C14*C4</f>
        <v>29780.000000000004</v>
      </c>
      <c r="D15" s="10">
        <f t="shared" ref="D15:L15" si="2">D14*D4</f>
        <v>14480</v>
      </c>
      <c r="E15" s="10">
        <f t="shared" si="2"/>
        <v>38203</v>
      </c>
      <c r="F15" s="10">
        <f t="shared" si="2"/>
        <v>47812</v>
      </c>
      <c r="G15" s="10">
        <f t="shared" si="2"/>
        <v>44337</v>
      </c>
      <c r="H15" s="10">
        <f t="shared" si="2"/>
        <v>4744</v>
      </c>
      <c r="I15" s="10">
        <f t="shared" si="2"/>
        <v>18148</v>
      </c>
      <c r="J15" s="10">
        <f t="shared" si="2"/>
        <v>15581</v>
      </c>
      <c r="K15" s="10">
        <f t="shared" si="2"/>
        <v>55845</v>
      </c>
      <c r="L15" s="10">
        <f t="shared" si="2"/>
        <v>15330</v>
      </c>
      <c r="M15" s="10">
        <f t="shared" ref="M15" si="3">M14*M4</f>
        <v>35386</v>
      </c>
      <c r="N15" s="10">
        <f t="shared" ref="N15" si="4">N14*N4</f>
        <v>13315</v>
      </c>
      <c r="O15" s="10">
        <f t="shared" ref="O15" si="5">O14*O4</f>
        <v>26119</v>
      </c>
      <c r="P15" s="10">
        <f t="shared" ref="P15" si="6">P14*P4</f>
        <v>11910</v>
      </c>
      <c r="Q15" s="10">
        <f t="shared" ref="Q15:R15" si="7">Q14*Q4</f>
        <v>11092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0.90489799934411086</v>
      </c>
      <c r="C16" s="9">
        <f t="shared" ref="C16:BK16" ca="1" si="10">(C14/(C7)*(360/C5))</f>
        <v>1.1355807680867993</v>
      </c>
      <c r="D16" s="9">
        <f t="shared" ca="1" si="10"/>
        <v>0.42495255224348277</v>
      </c>
      <c r="E16" s="9">
        <f t="shared" ca="1" si="10"/>
        <v>0.73187211203916103</v>
      </c>
      <c r="F16" s="9">
        <f t="shared" ca="1" si="10"/>
        <v>1.0403870776045681</v>
      </c>
      <c r="G16" s="9">
        <f t="shared" ca="1" si="10"/>
        <v>1.2052856332470419</v>
      </c>
      <c r="H16" s="9">
        <f t="shared" ca="1" si="10"/>
        <v>8.3717647058823523</v>
      </c>
      <c r="I16" s="9">
        <f t="shared" ca="1" si="10"/>
        <v>0.54588503567300273</v>
      </c>
      <c r="J16" s="9">
        <f t="shared" ca="1" si="10"/>
        <v>0.8694933384859691</v>
      </c>
      <c r="K16" s="9">
        <f t="shared" ca="1" si="10"/>
        <v>1.3688525586860338</v>
      </c>
      <c r="L16" s="9">
        <f t="shared" ca="1" si="10"/>
        <v>1.0189409881992055</v>
      </c>
      <c r="M16" s="9">
        <f t="shared" ca="1" si="10"/>
        <v>1.0269929997193499</v>
      </c>
      <c r="N16" s="9">
        <f t="shared" ca="1" si="10"/>
        <v>0.59569588780857796</v>
      </c>
      <c r="O16" s="9">
        <f t="shared" ca="1" si="10"/>
        <v>0.83269881365631593</v>
      </c>
      <c r="P16" s="9">
        <f t="shared" ca="1" si="10"/>
        <v>0.889520869073258</v>
      </c>
      <c r="Q16" s="9">
        <f t="shared" ca="1" si="10"/>
        <v>0.71214954958630283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Log'!AA214/'Scoreboard Total'!B3</f>
        <v>0.46951219512195119</v>
      </c>
      <c r="C17" s="9">
        <f>COUNTIFS('Sales Log'!$T$14:$T$213,C2,'Sales Log'!$AA$14:$AA$213,"Yes")/C$4</f>
        <v>0.36363636363636365</v>
      </c>
      <c r="D17" s="9">
        <f>COUNTIFS('Sales Log'!$T$14:$T$213,D2,'Sales Log'!$AA$14:$AA$213,"Yes")/D$4</f>
        <v>0.625</v>
      </c>
      <c r="E17" s="9">
        <f>COUNTIFS('Sales Log'!$T$14:$T$213,E2,'Sales Log'!$AA$14:$AA$213,"Yes")/E$4</f>
        <v>0.3125</v>
      </c>
      <c r="F17" s="9">
        <f>COUNTIFS('Sales Log'!$T$14:$T$213,F2,'Sales Log'!$AA$14:$AA$213,"Yes")/F$4</f>
        <v>0.75</v>
      </c>
      <c r="G17" s="9">
        <f>COUNTIFS('Sales Log'!$T$14:$T$213,G2,'Sales Log'!$AA$14:$AA$213,"Yes")/G$4</f>
        <v>0.58823529411764708</v>
      </c>
      <c r="H17" s="9">
        <f>COUNTIFS('Sales Log'!$T$14:$T$213,H2,'Sales Log'!$AA$14:$AA$213,"Yes")/H$4</f>
        <v>0</v>
      </c>
      <c r="I17" s="9">
        <f>COUNTIFS('Sales Log'!$T$14:$T$213,I2,'Sales Log'!$AA$14:$AA$213,"Yes")/I$4</f>
        <v>0.5714285714285714</v>
      </c>
      <c r="J17" s="9">
        <f>COUNTIFS('Sales Log'!$T$14:$T$213,J2,'Sales Log'!$AA$14:$AA$213,"Yes")/J$4</f>
        <v>0.25</v>
      </c>
      <c r="K17" s="9">
        <f>COUNTIFS('Sales Log'!$T$14:$T$213,K2,'Sales Log'!$AA$14:$AA$213,"Yes")/K$4</f>
        <v>0.41176470588235292</v>
      </c>
      <c r="L17" s="9">
        <f>COUNTIFS('Sales Log'!$T$14:$T$213,L2,'Sales Log'!$AA$14:$AA$213,"Yes")/L$4</f>
        <v>0.6</v>
      </c>
      <c r="M17" s="9">
        <f>COUNTIFS('Sales Log'!$T$14:$T$213,M2,'Sales Log'!$AA$14:$AA$213,"Yes")/M$4</f>
        <v>0.3125</v>
      </c>
      <c r="N17" s="9">
        <f>COUNTIFS('Sales Log'!$T$14:$T$213,N2,'Sales Log'!$AA$14:$AA$213,"Yes")/N$4</f>
        <v>0.22222222222222221</v>
      </c>
      <c r="O17" s="9">
        <f>COUNTIFS('Sales Log'!$T$14:$T$213,O2,'Sales Log'!$AA$14:$AA$213,"Yes")/O$4</f>
        <v>0.44444444444444442</v>
      </c>
      <c r="P17" s="9">
        <f>COUNTIFS('Sales Log'!$T$14:$T$213,P2,'Sales Log'!$AA$14:$AA$213,"Yes")/P$4</f>
        <v>0.16666666666666666</v>
      </c>
      <c r="Q17" s="9">
        <f>COUNTIFS('Sales Log'!$T$14:$T$213,Q2,'Sales Log'!$AA$14:$AA$213,"Yes")/Q$4</f>
        <v>0.75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138</v>
      </c>
      <c r="B18" s="114">
        <f>'Sales Log'!$AB$214</f>
        <v>-485.7560975609756</v>
      </c>
      <c r="C18" s="114">
        <f>AVERAGEIF('Sales Log'!$T$14:$T$213,C2,'Sales Log'!$AB$14:$AB$213)</f>
        <v>-21.272727272727273</v>
      </c>
      <c r="D18" s="114">
        <f>AVERAGEIF('Sales Log'!$T$14:$T$213,D2,'Sales Log'!$AB$14:$AB$213)</f>
        <v>-1188.6875</v>
      </c>
      <c r="E18" s="114">
        <f>AVERAGEIF('Sales Log'!$T$14:$T$213,E2,'Sales Log'!$AB$14:$AB$213)</f>
        <v>-1281.25</v>
      </c>
      <c r="F18" s="114">
        <f>AVERAGEIF('Sales Log'!$T$14:$T$213,F2,'Sales Log'!$AB$14:$AB$213)</f>
        <v>-630.4375</v>
      </c>
      <c r="G18" s="114">
        <f>AVERAGEIF('Sales Log'!$T$14:$T$213,G2,'Sales Log'!$AB$14:$AB$213)</f>
        <v>41.176470588235297</v>
      </c>
      <c r="H18" s="114">
        <f>AVERAGEIF('Sales Log'!$T$14:$T$213,H2,'Sales Log'!$AB$14:$AB$213)</f>
        <v>0</v>
      </c>
      <c r="I18" s="114">
        <f>AVERAGEIF('Sales Log'!$T$14:$T$213,I2,'Sales Log'!$AB$14:$AB$213)</f>
        <v>-33.285714285714285</v>
      </c>
      <c r="J18" s="114">
        <f>AVERAGEIF('Sales Log'!$T$14:$T$213,J2,'Sales Log'!$AB$14:$AB$213)</f>
        <v>-125</v>
      </c>
      <c r="K18" s="114">
        <f>AVERAGEIF('Sales Log'!$T$14:$T$213,K2,'Sales Log'!$AB$14:$AB$213)</f>
        <v>-252.70588235294119</v>
      </c>
      <c r="L18" s="114">
        <f>AVERAGEIF('Sales Log'!$T$14:$T$213,L2,'Sales Log'!$AB$14:$AB$213)</f>
        <v>-514.20000000000005</v>
      </c>
      <c r="M18" s="114">
        <f>AVERAGEIF('Sales Log'!$T$14:$T$213,M2,'Sales Log'!$AB$14:$AB$213)</f>
        <v>-246.8125</v>
      </c>
      <c r="N18" s="114">
        <f>AVERAGEIF('Sales Log'!$T$14:$T$213,N2,'Sales Log'!$AB$14:$AB$213)</f>
        <v>-133.22222222222223</v>
      </c>
      <c r="O18" s="114">
        <f>AVERAGEIF('Sales Log'!$T$14:$T$213,O2,'Sales Log'!$AB$14:$AB$213)</f>
        <v>-555.55555555555554</v>
      </c>
      <c r="P18" s="114">
        <f>AVERAGEIF('Sales Log'!$T$14:$T$213,P2,'Sales Log'!$AB$14:$AB$213)</f>
        <v>-462.83333333333331</v>
      </c>
      <c r="Q18" s="114">
        <f>AVERAGEIF('Sales Log'!$T$14:$T$213,Q2,'Sales Log'!$AB$14:$AB$213)</f>
        <v>-687.5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E4" sqref="E4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93</v>
      </c>
      <c r="B2" s="22" t="s">
        <v>141</v>
      </c>
      <c r="C2" s="29" t="s">
        <v>155</v>
      </c>
      <c r="D2" s="29" t="s">
        <v>156</v>
      </c>
      <c r="E2" s="29" t="s">
        <v>157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Log'!$I$14:$I$213,"No")/B4</f>
        <v>0.36585365853658536</v>
      </c>
      <c r="C3" s="14">
        <f>COUNTIFS('Sales Log'!$I$14:$I$213,"No",'Sales Log'!$V$14:$V$213,C2)/C4</f>
        <v>0.33962264150943394</v>
      </c>
      <c r="D3" s="14">
        <f>COUNTIFS('Sales Log'!$I$14:$I$213,"No",'Sales Log'!$V$14:$V$213,D2)/D4</f>
        <v>0.38775510204081631</v>
      </c>
      <c r="E3" s="14">
        <f>COUNTIFS('Sales Log'!$I$14:$I$213,"No",'Sales Log'!$V$14:$V$213,E2)/E4</f>
        <v>0.37096774193548387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125</v>
      </c>
      <c r="B4" s="6">
        <f>'Scoreboard Total'!B3</f>
        <v>164</v>
      </c>
      <c r="C4" s="39">
        <f>COUNTIF('Sales Log'!$V$14:$V$213,C2)</f>
        <v>53</v>
      </c>
      <c r="D4" s="39">
        <f>COUNTIF('Sales Log'!$V$14:$V$213,D2)</f>
        <v>49</v>
      </c>
      <c r="E4" s="39">
        <f>COUNTIF('Sales Log'!$V$14:$V$213,E2)</f>
        <v>62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126</v>
      </c>
      <c r="B5" s="7">
        <f>'Sales Log'!$F$214</f>
        <v>31.646341463414632</v>
      </c>
      <c r="C5" s="24">
        <f ca="1">AVERAGEIF('Sales Log'!$V$14:$V$213,C2,'Sales Log'!$F$14:$F$209)</f>
        <v>32.39622641509434</v>
      </c>
      <c r="D5" s="24">
        <f ca="1">AVERAGEIF('Sales Log'!$V$14:$V$213,D2,'Sales Log'!$F$14:$F$209)</f>
        <v>31.122448979591837</v>
      </c>
      <c r="E5" s="24">
        <f ca="1">AVERAGEIF('Sales Log'!$V$14:$V$213,E2,'Sales Log'!$F$14:$F$209)</f>
        <v>31.419354838709676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127</v>
      </c>
      <c r="B6" s="8">
        <f>'Sales Log'!$J$214</f>
        <v>29691.25</v>
      </c>
      <c r="C6" s="8">
        <f>AVERAGEIF('Sales Log'!$V$14:$V$213,C2,'Sales Log'!$J$14:$J$213)</f>
        <v>31251.528301886792</v>
      </c>
      <c r="D6" s="8">
        <f>AVERAGEIF('Sales Log'!$V$14:$V$213,D2,'Sales Log'!$J$14:$J$213)</f>
        <v>30195.428571428572</v>
      </c>
      <c r="E6" s="8">
        <f>AVERAGEIF('Sales Log'!$V$14:$V$213,E2,'Sales Log'!$J$14:$J$213)</f>
        <v>27959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128</v>
      </c>
      <c r="B7" s="8">
        <f>'Sales Log'!$K$214</f>
        <v>29466.917743902439</v>
      </c>
      <c r="C7" s="8">
        <f>AVERAGEIF('Sales Log'!$V$14:$V$213,C2,'Sales Log'!$K$14:$K$213)</f>
        <v>31268.867924528302</v>
      </c>
      <c r="D7" s="8">
        <f>AVERAGEIF('Sales Log'!$V$14:$V$213,D2,'Sales Log'!$K$14:$K$213)</f>
        <v>29634.949183673471</v>
      </c>
      <c r="E7" s="8">
        <f>AVERAGEIF('Sales Log'!$V$14:$V$213,E2,'Sales Log'!$K$14:$K$213)</f>
        <v>27793.741935483871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129</v>
      </c>
      <c r="B8" s="8">
        <f>'Sales Log'!$M$214</f>
        <v>31090.314136125671</v>
      </c>
      <c r="C8" s="8">
        <f>AVERAGEIF('Sales Log'!$V$14:$V$213,C2,'Sales Log'!$M$14:$M$213)</f>
        <v>32559.848781792003</v>
      </c>
      <c r="D8" s="8">
        <f>AVERAGEIF('Sales Log'!$V$14:$V$213,D2,'Sales Log'!$M$14:$M$213)</f>
        <v>31501.918491811179</v>
      </c>
      <c r="E8" s="8">
        <f>AVERAGEIF('Sales Log'!$V$14:$V$213,E2,'Sales Log'!$M$14:$M$213)</f>
        <v>29271.986085805536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130</v>
      </c>
      <c r="B9" s="9">
        <f>'Sales Log'!L214</f>
        <v>0.95499999999999952</v>
      </c>
      <c r="C9" s="14">
        <f>C6/C8</f>
        <v>0.95981798046197175</v>
      </c>
      <c r="D9" s="14">
        <f t="shared" ref="D9:L9" si="0">D6/D8</f>
        <v>0.95852665542505855</v>
      </c>
      <c r="E9" s="14">
        <f t="shared" si="0"/>
        <v>0.9551453023393508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Log'!$N$214</f>
        <v>0.94778449696212907</v>
      </c>
      <c r="C10" s="14">
        <f>C7/C8</f>
        <v>0.96035052662819376</v>
      </c>
      <c r="D10" s="14">
        <f t="shared" ref="D10:L10" si="1">D7/D8</f>
        <v>0.94073474259597811</v>
      </c>
      <c r="E10" s="14">
        <f t="shared" si="1"/>
        <v>0.94949969756105856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Log'!$O$214</f>
        <v>224.33225609756101</v>
      </c>
      <c r="C11" s="8">
        <f>AVERAGEIF('Sales Log'!$V$14:$V$213,C2,'Sales Log'!$O$14:$O$213)</f>
        <v>-17.339622641509433</v>
      </c>
      <c r="D11" s="8">
        <f>AVERAGEIF('Sales Log'!$V$14:$V$213,D2,'Sales Log'!$O$14:$O$213)</f>
        <v>560.47938775510204</v>
      </c>
      <c r="E11" s="8">
        <f>AVERAGEIF('Sales Log'!$V$14:$V$213,E2,'Sales Log'!$O$14:$O$213)</f>
        <v>165.25806451612902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133</v>
      </c>
      <c r="B12" s="8">
        <f>'Sales Log'!$P$214</f>
        <v>520.81707317073176</v>
      </c>
      <c r="C12" s="8">
        <f>AVERAGEIF('Sales Log'!$V$14:$V$213,C2,'Sales Log'!$P$14:$P$213)</f>
        <v>618.41509433962267</v>
      </c>
      <c r="D12" s="8">
        <f>AVERAGEIF('Sales Log'!$V$14:$V$213,D2,'Sales Log'!$P$14:$P$213)</f>
        <v>693.38775510204084</v>
      </c>
      <c r="E12" s="8">
        <f>AVERAGEIF('Sales Log'!$V$14:$V$213,E2,'Sales Log'!$P$14:$P$213)</f>
        <v>301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134</v>
      </c>
      <c r="B13" s="8">
        <f>'Sales Log'!$Q$214</f>
        <v>1823.1707317073171</v>
      </c>
      <c r="C13" s="8">
        <f>AVERAGEIF('Sales Log'!$V$14:$V$213,C2,'Sales Log'!$Q$14:$Q$213)</f>
        <v>2074</v>
      </c>
      <c r="D13" s="8">
        <f>AVERAGEIF('Sales Log'!$V$14:$V$213,D2,'Sales Log'!$Q$14:$Q$213)</f>
        <v>1754.6734693877552</v>
      </c>
      <c r="E13" s="8">
        <f>AVERAGEIF('Sales Log'!$V$14:$V$213,E2,'Sales Log'!$Q$14:$Q$213)</f>
        <v>1662.8870967741937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135</v>
      </c>
      <c r="B14" s="8">
        <f>'Sales Log'!$R$214</f>
        <v>2343.9878048780488</v>
      </c>
      <c r="C14" s="8">
        <f>AVERAGEIF('Sales Log'!$V$14:$V$213,C2,'Sales Log'!$R$14:$R$213)</f>
        <v>2692.4150943396226</v>
      </c>
      <c r="D14" s="8">
        <f>AVERAGEIF('Sales Log'!$V$14:$V$213,D2,'Sales Log'!$R$14:$R$213)</f>
        <v>2448.0612244897961</v>
      </c>
      <c r="E14" s="8">
        <f>AVERAGEIF('Sales Log'!$V$14:$V$213,E2,'Sales Log'!$R$14:$R$213)</f>
        <v>1963.8870967741937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136</v>
      </c>
      <c r="B15" s="10">
        <f t="shared" ref="B15:L15" si="2">B14*B4</f>
        <v>384414</v>
      </c>
      <c r="C15" s="10">
        <f t="shared" si="2"/>
        <v>142698</v>
      </c>
      <c r="D15" s="10">
        <f t="shared" si="2"/>
        <v>119955.00000000001</v>
      </c>
      <c r="E15" s="10">
        <f t="shared" si="2"/>
        <v>121761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0.90489799934411086</v>
      </c>
      <c r="C16" s="9">
        <f t="shared" ref="C16:L16" ca="1" si="3">(C14/(C7)*(360/C5))</f>
        <v>0.95683694059555291</v>
      </c>
      <c r="D16" s="9">
        <f t="shared" ca="1" si="3"/>
        <v>0.95553549716359654</v>
      </c>
      <c r="E16" s="9">
        <f t="shared" ca="1" si="3"/>
        <v>0.80960789326036842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Log'!AA214/'Scoreboard Total'!B3</f>
        <v>0.46951219512195119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138</v>
      </c>
      <c r="B18" s="114">
        <f>'Sales Log'!$AB$214</f>
        <v>-485.7560975609756</v>
      </c>
      <c r="C18" s="114">
        <f>AVERAGEIF('Sales Log'!$V$14:$V$213,C2,'Sales Log'!$AB$14:$AB$213)</f>
        <v>-691.62264150943395</v>
      </c>
      <c r="D18" s="114">
        <f>AVERAGEIF('Sales Log'!$V$14:$V$213,D2,'Sales Log'!$AB$14:$AB$213)</f>
        <v>-420.65306122448982</v>
      </c>
      <c r="E18" s="114">
        <f>AVERAGEIF('Sales Log'!$V$14:$V$213,E2,'Sales Log'!$AB$14:$AB$213)</f>
        <v>-361.22580645161293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C13" sqref="C13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79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164</v>
      </c>
      <c r="C3" s="6">
        <f>COUNTIF('Sales Log'!$H$14:$H$213,C2)</f>
        <v>36</v>
      </c>
      <c r="D3" s="6">
        <f>COUNTIF('Sales Log'!$H$14:$H$213,D2)</f>
        <v>128</v>
      </c>
    </row>
    <row r="4" spans="1:4" ht="22.5" customHeight="1">
      <c r="A4" s="5" t="s">
        <v>126</v>
      </c>
      <c r="B4" s="7">
        <f>'Sales Log'!$F$214</f>
        <v>31.646341463414632</v>
      </c>
      <c r="C4" s="24">
        <f ca="1">AVERAGEIF('Sales Log'!$H$14:$H$213,C2,'Sales Log'!$F$14:$F$209)</f>
        <v>34.222222222222221</v>
      </c>
      <c r="D4" s="24">
        <f ca="1">AVERAGEIF('Sales Log'!$H$14:$H$213,D2,'Sales Log'!$F$14:$F$209)</f>
        <v>30.921875</v>
      </c>
    </row>
    <row r="5" spans="1:4" ht="22.5" customHeight="1">
      <c r="A5" s="5" t="s">
        <v>127</v>
      </c>
      <c r="B5" s="8">
        <f>'Sales Log'!$J$214</f>
        <v>29691.25</v>
      </c>
      <c r="C5" s="8">
        <f>AVERAGEIF('Sales Log'!$H$14:$H$213,C2,'Sales Log'!J14:J213)</f>
        <v>33729.055555555555</v>
      </c>
      <c r="D5" s="8">
        <f>AVERAGEIF('Sales Log'!$H$14:$H$213,D2,'Sales Log'!K14:K213)</f>
        <v>28282.964921874998</v>
      </c>
    </row>
    <row r="6" spans="1:4" ht="22.5" customHeight="1">
      <c r="A6" s="5" t="s">
        <v>128</v>
      </c>
      <c r="B6" s="8">
        <f>'Sales Log'!$K$214</f>
        <v>29466.917743902439</v>
      </c>
      <c r="C6" s="8">
        <f>AVERAGEIF('Sales Log'!$H$14:$H$213,C2,'Sales Log'!$K$14:$K$213)</f>
        <v>33676.527777777781</v>
      </c>
      <c r="D6" s="8">
        <f>AVERAGEIF('Sales Log'!$H$14:$H$213,D2,'Sales Log'!$K$14:$K$213)</f>
        <v>28282.964921874998</v>
      </c>
    </row>
    <row r="7" spans="1:4" ht="22.5" customHeight="1">
      <c r="A7" s="5" t="s">
        <v>129</v>
      </c>
      <c r="B7" s="8">
        <f>'Sales Log'!$M$214</f>
        <v>31090.314136125671</v>
      </c>
      <c r="C7" s="8">
        <f>AVERAGEIF('Sales Log'!$H$14:$H$213,C2,'Sales Log'!$M$14:$M$213)</f>
        <v>35051.092286950065</v>
      </c>
      <c r="D7" s="8">
        <f>AVERAGEIF('Sales Log'!$H$14:$H$213,D2,'Sales Log'!$M$14:$M$213)</f>
        <v>29861.639113464567</v>
      </c>
    </row>
    <row r="8" spans="1:4" ht="22.5" customHeight="1">
      <c r="A8" s="5" t="s">
        <v>130</v>
      </c>
      <c r="B8" s="9">
        <f>'Sales Log'!L214</f>
        <v>0.95499999999999952</v>
      </c>
      <c r="C8" s="14">
        <f>C5/C7</f>
        <v>0.96228258107988496</v>
      </c>
      <c r="D8" s="14">
        <f>D5/D7</f>
        <v>0.94713370603699554</v>
      </c>
    </row>
    <row r="9" spans="1:4" ht="22.5" customHeight="1">
      <c r="A9" s="5" t="s">
        <v>131</v>
      </c>
      <c r="B9" s="9">
        <f>'Sales Log'!$N$214</f>
        <v>0.94778449696212907</v>
      </c>
      <c r="C9" s="14">
        <f>C6/C7</f>
        <v>0.96078397506362301</v>
      </c>
      <c r="D9" s="14">
        <f>D6/D7</f>
        <v>0.94713370603699554</v>
      </c>
    </row>
    <row r="10" spans="1:4" ht="22.5" customHeight="1">
      <c r="A10" s="5" t="s">
        <v>132</v>
      </c>
      <c r="B10" s="8">
        <f>'Sales Log'!$O$214</f>
        <v>224.33225609756101</v>
      </c>
      <c r="C10" s="8">
        <f>AVERAGEIF('Sales Log'!$H$14:$H$213,C2,'Sales Log'!$O$14:$O$213)</f>
        <v>52.527777777777779</v>
      </c>
      <c r="D10" s="8">
        <f>AVERAGEIF('Sales Log'!$H$14:$H$213,D2,'Sales Log'!$O$14:$O$213)</f>
        <v>272.65226562500004</v>
      </c>
    </row>
    <row r="11" spans="1:4" ht="22.5" customHeight="1">
      <c r="A11" s="5" t="s">
        <v>133</v>
      </c>
      <c r="B11" s="8">
        <f>'Sales Log'!$P$214</f>
        <v>520.81707317073176</v>
      </c>
      <c r="C11" s="8">
        <f>AVERAGEIF('Sales Log'!$H$14:$H$213,C2,'Sales Log'!$P$14:$P$213)</f>
        <v>-187.30555555555554</v>
      </c>
      <c r="D11" s="8">
        <f>AVERAGEIF('Sales Log'!$H$14:$H$213,D2,'Sales Log'!$P$14:$P$213)</f>
        <v>719.9765625</v>
      </c>
    </row>
    <row r="12" spans="1:4" ht="22.5" customHeight="1">
      <c r="A12" s="5" t="s">
        <v>134</v>
      </c>
      <c r="B12" s="8">
        <f>'Sales Log'!$Q$214</f>
        <v>1823.1707317073171</v>
      </c>
      <c r="C12" s="8">
        <f>AVERAGEIF('Sales Log'!$H$14:$H$213,C2,'Sales Log'!$Q$14:$Q$213)</f>
        <v>2017.8611111111111</v>
      </c>
      <c r="D12" s="8">
        <f>AVERAGEIF('Sales Log'!$H$14:$H$213,D2,'Sales Log'!$Q$14:$Q$213)</f>
        <v>1768.4140625</v>
      </c>
    </row>
    <row r="13" spans="1:4" ht="22.5" customHeight="1">
      <c r="A13" s="5" t="s">
        <v>135</v>
      </c>
      <c r="B13" s="8">
        <f>'Sales Log'!$R$214</f>
        <v>2343.9878048780488</v>
      </c>
      <c r="C13" s="8">
        <f>AVERAGEIF('Sales Log'!$H$14:$H$213,C2,'Sales Log'!$R$14:$R$213)</f>
        <v>1830.5555555555557</v>
      </c>
      <c r="D13" s="8">
        <f>AVERAGEIF('Sales Log'!$H$14:$H$213,D2,'Sales Log'!$R$14:$R$213)</f>
        <v>2488.390625</v>
      </c>
    </row>
    <row r="14" spans="1:4" ht="22.5" customHeight="1">
      <c r="A14" s="5" t="s">
        <v>136</v>
      </c>
      <c r="B14" s="10">
        <f>B13*B3</f>
        <v>384414</v>
      </c>
      <c r="C14" s="10">
        <f>C13*C3</f>
        <v>65900</v>
      </c>
      <c r="D14" s="10">
        <f t="shared" ref="D14" si="0">D13*D3</f>
        <v>318514</v>
      </c>
    </row>
    <row r="15" spans="1:4" ht="22.5" customHeight="1">
      <c r="A15" s="5" t="s">
        <v>90</v>
      </c>
      <c r="B15" s="9">
        <f>(B13/(B6)*(360/B4))</f>
        <v>0.90489799934411086</v>
      </c>
      <c r="C15" s="9">
        <f t="shared" ref="C15:D15" ca="1" si="1">(C13/(C6)*(360/C4))</f>
        <v>0.57180756975784008</v>
      </c>
      <c r="D15" s="9">
        <f t="shared" ca="1" si="1"/>
        <v>1.0243073808600294</v>
      </c>
    </row>
    <row r="16" spans="1:4" ht="22.5" customHeight="1">
      <c r="A16" s="5" t="s">
        <v>137</v>
      </c>
      <c r="B16" s="9">
        <f>'Sales Log'!AA214/'Scoreboard Total'!B3</f>
        <v>0.46951219512195119</v>
      </c>
      <c r="C16" s="9">
        <f>COUNTIFS('Sales Log'!$H$14:$H$213,C2,'Sales Log'!$AA$14:$AA$213,"Yes")/C$3</f>
        <v>0.66666666666666663</v>
      </c>
      <c r="D16" s="9">
        <f>COUNTIFS('Sales Log'!$H$14:$H$213,D2,'Sales Log'!$AA$14:$AA$213,"Yes")/D$3</f>
        <v>0.4140625</v>
      </c>
    </row>
    <row r="17" spans="1:4" ht="22.5" customHeight="1">
      <c r="A17" s="5" t="s">
        <v>138</v>
      </c>
      <c r="B17" s="114">
        <f>'Sales Log'!$AB$214</f>
        <v>-485.7560975609756</v>
      </c>
      <c r="C17" s="114">
        <f>AVERAGEIF('Sales Log'!$H$14:$H$213,C2,'Sales Log'!$AB$14:$AB$213)</f>
        <v>-547.69444444444446</v>
      </c>
      <c r="D17" s="114">
        <f>AVERAGEIF('Sales Log'!$H$14:$H$213,D2,'Sales Log'!$AB$14:$AB$213)</f>
        <v>-468.3359375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1" sqref="D11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164</v>
      </c>
      <c r="C3" s="6">
        <f>COUNTIF('Sales Log'!$I$14:$I$213,C2)</f>
        <v>104</v>
      </c>
      <c r="D3" s="6">
        <f>COUNTIF('Sales Log'!$I$14:$I$213,D2)</f>
        <v>60</v>
      </c>
    </row>
    <row r="4" spans="1:4" ht="22.5" customHeight="1">
      <c r="A4" s="5" t="s">
        <v>126</v>
      </c>
      <c r="B4" s="7">
        <f>'Sales Log'!$F$214</f>
        <v>31.646341463414632</v>
      </c>
      <c r="C4" s="24">
        <f ca="1">AVERAGEIF('Sales Log'!$I$14:$I$213,C2,'Sales Log'!$F$14:$F$209)</f>
        <v>29.346153846153847</v>
      </c>
      <c r="D4" s="24">
        <f ca="1">AVERAGEIF('Sales Log'!$I$14:$I$213,D2,'Sales Log'!$F$14:$F$209)</f>
        <v>35.633333333333333</v>
      </c>
    </row>
    <row r="5" spans="1:4" ht="22.5" customHeight="1">
      <c r="A5" s="5" t="s">
        <v>127</v>
      </c>
      <c r="B5" s="8">
        <f>'Sales Log'!$J$214</f>
        <v>29691.25</v>
      </c>
      <c r="C5" s="8">
        <f>AVERAGEIF('Sales Log'!$I$14:$I$213,C2,'Sales Log'!J14:J213)</f>
        <v>30887.01923076923</v>
      </c>
      <c r="D5" s="8">
        <f>AVERAGEIF('Sales Log'!$I$14:$I$213,D2,'Sales Log'!K14:K213)</f>
        <v>27260.016666666666</v>
      </c>
    </row>
    <row r="6" spans="1:4" ht="22.5" customHeight="1">
      <c r="A6" s="5" t="s">
        <v>128</v>
      </c>
      <c r="B6" s="8">
        <f>'Sales Log'!$K$214</f>
        <v>29466.917743902439</v>
      </c>
      <c r="C6" s="8">
        <f>AVERAGEIF('Sales Log'!$I$14:$I$213,C2,'Sales Log'!$K$14:$K$213)</f>
        <v>30740.129903846151</v>
      </c>
      <c r="D6" s="8">
        <f>AVERAGEIF('Sales Log'!$I$14:$I$213,D2,'Sales Log'!$K$14:$K$213)</f>
        <v>27260.016666666666</v>
      </c>
    </row>
    <row r="7" spans="1:4" ht="22.5" customHeight="1">
      <c r="A7" s="5" t="s">
        <v>129</v>
      </c>
      <c r="B7" s="8">
        <f>'Sales Log'!$M$214</f>
        <v>31090.314136125671</v>
      </c>
      <c r="C7" s="8">
        <f>AVERAGEIF('Sales Log'!$I$14:$I$213,C2,'Sales Log'!$M$14:$M$213)</f>
        <v>32066.277290804821</v>
      </c>
      <c r="D7" s="8">
        <f>AVERAGEIF('Sales Log'!$I$14:$I$213,D2,'Sales Log'!$M$14:$M$213)</f>
        <v>29153.938176832737</v>
      </c>
    </row>
    <row r="8" spans="1:4" ht="22.5" customHeight="1">
      <c r="A8" s="5" t="s">
        <v>130</v>
      </c>
      <c r="B8" s="9">
        <f>'Sales Log'!L214</f>
        <v>0.95499999999999952</v>
      </c>
      <c r="C8" s="14">
        <f>C5/C7</f>
        <v>0.9632243540670139</v>
      </c>
      <c r="D8" s="14">
        <f>D5/D7</f>
        <v>0.93503719810755859</v>
      </c>
    </row>
    <row r="9" spans="1:4" ht="22.5" customHeight="1">
      <c r="A9" s="5" t="s">
        <v>131</v>
      </c>
      <c r="B9" s="9">
        <f>'Sales Log'!$N$214</f>
        <v>0.94778449696212907</v>
      </c>
      <c r="C9" s="14">
        <f>C6/C7</f>
        <v>0.95864355020284975</v>
      </c>
      <c r="D9" s="14">
        <f>D6/D7</f>
        <v>0.93503719810755859</v>
      </c>
    </row>
    <row r="10" spans="1:4" ht="22.5" customHeight="1">
      <c r="A10" s="5" t="s">
        <v>132</v>
      </c>
      <c r="B10" s="8">
        <f>'Sales Log'!$O$214</f>
        <v>224.33225609756101</v>
      </c>
      <c r="C10" s="8">
        <f>AVERAGEIF('Sales Log'!$I$14:$I$213,C2,'Sales Log'!$O$14:$O$213)</f>
        <v>146.88932692307694</v>
      </c>
      <c r="D10" s="8">
        <f>AVERAGEIF('Sales Log'!$I$14:$I$213,D2,'Sales Log'!$O$14:$O$213)</f>
        <v>358.56666666666666</v>
      </c>
    </row>
    <row r="11" spans="1:4" ht="22.5" customHeight="1">
      <c r="A11" s="5" t="s">
        <v>133</v>
      </c>
      <c r="B11" s="8">
        <f>'Sales Log'!$P$214</f>
        <v>520.81707317073176</v>
      </c>
      <c r="C11" s="8">
        <f>AVERAGEIF('Sales Log'!$I$14:$I$213,C2,'Sales Log'!$P$14:$P$213)</f>
        <v>888.84615384615381</v>
      </c>
      <c r="D11" s="8">
        <f>AVERAGEIF('Sales Log'!$I$14:$I$213,D2,'Sales Log'!$P$14:$P$213)</f>
        <v>-117.1</v>
      </c>
    </row>
    <row r="12" spans="1:4" ht="22.5" customHeight="1">
      <c r="A12" s="5" t="s">
        <v>134</v>
      </c>
      <c r="B12" s="8">
        <f>'Sales Log'!$Q$214</f>
        <v>1823.1707317073171</v>
      </c>
      <c r="C12" s="8">
        <f>AVERAGEIF('Sales Log'!$I$14:$I$213,C2,'Sales Log'!$Q$14:$Q$213)</f>
        <v>1910.8173076923076</v>
      </c>
      <c r="D12" s="8">
        <f>AVERAGEIF('Sales Log'!$I$14:$I$213,D2,'Sales Log'!$Q$14:$Q$213)</f>
        <v>1671.25</v>
      </c>
    </row>
    <row r="13" spans="1:4" ht="22.5" customHeight="1">
      <c r="A13" s="5" t="s">
        <v>135</v>
      </c>
      <c r="B13" s="8">
        <f>'Sales Log'!$R$214</f>
        <v>2343.9878048780488</v>
      </c>
      <c r="C13" s="8">
        <f>AVERAGEIF('Sales Log'!$I$14:$I$213,C2,'Sales Log'!$R$14:$R$213)</f>
        <v>2799.6634615384614</v>
      </c>
      <c r="D13" s="8">
        <f>AVERAGEIF('Sales Log'!$I$14:$I$213,D2,'Sales Log'!$R$14:$R$213)</f>
        <v>1554.15</v>
      </c>
    </row>
    <row r="14" spans="1:4" ht="22.5" customHeight="1">
      <c r="A14" s="5" t="s">
        <v>136</v>
      </c>
      <c r="B14" s="10">
        <f>B13*B3</f>
        <v>384414</v>
      </c>
      <c r="C14" s="10">
        <f>C13*C3</f>
        <v>291165</v>
      </c>
      <c r="D14" s="10">
        <f t="shared" ref="D14" si="0">D13*D3</f>
        <v>93249</v>
      </c>
    </row>
    <row r="15" spans="1:4" ht="22.5" customHeight="1">
      <c r="A15" s="5" t="s">
        <v>90</v>
      </c>
      <c r="B15" s="9">
        <f>(B13/(B6)*(360/B4))</f>
        <v>0.90489799934411086</v>
      </c>
      <c r="C15" s="9">
        <f t="shared" ref="C15:D15" ca="1" si="1">(C13/(C6)*(360/C4))</f>
        <v>1.117252774151319</v>
      </c>
      <c r="D15" s="9">
        <f t="shared" ca="1" si="1"/>
        <v>0.57598724467458018</v>
      </c>
    </row>
    <row r="16" spans="1:4" ht="22.5" customHeight="1">
      <c r="A16" s="5" t="s">
        <v>137</v>
      </c>
      <c r="B16" s="9">
        <f>'Sales Log'!AA214/'Scoreboard Total'!B3</f>
        <v>0.46951219512195119</v>
      </c>
      <c r="C16" s="9">
        <f>COUNTIFS('Sales Log'!$I$14:$I$213,C2,'Sales Log'!$AA$14:$AA$213,"Yes")/C$3</f>
        <v>0.50961538461538458</v>
      </c>
      <c r="D16" s="9">
        <f>COUNTIFS('Sales Log'!$I$14:$I$213,D2,'Sales Log'!$AA$14:$AA$213,"Yes")/D$3</f>
        <v>0.4</v>
      </c>
    </row>
    <row r="17" spans="1:4" ht="22.5" customHeight="1">
      <c r="A17" s="5" t="s">
        <v>138</v>
      </c>
      <c r="B17" s="114">
        <f>'Sales Log'!$AB$214</f>
        <v>-485.7560975609756</v>
      </c>
      <c r="C17" s="114">
        <f>AVERAGEIF('Sales Log'!$I$14:$I$213,C2,'Sales Log'!$AB$14:$AB$213)</f>
        <v>-538.27884615384619</v>
      </c>
      <c r="D17" s="114">
        <f>AVERAGEIF('Sales Log'!$I$14:$I$213,D2,'Sales Log'!$AB$14:$AB$213)</f>
        <v>-394.71666666666664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J3" sqref="J3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103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164</v>
      </c>
      <c r="C3" s="6">
        <f>COUNTIF('Sales Log'!$G$14:$G$213,'Scoreboard by Source'!C2)</f>
        <v>100</v>
      </c>
      <c r="D3" s="6">
        <f>COUNTIF('Sales Log'!$G$14:$G$213,'Scoreboard by Source'!D2)</f>
        <v>40</v>
      </c>
      <c r="E3" s="6">
        <f>COUNTIF('Sales Log'!$G$14:$G$213,'Scoreboard by Source'!E2)</f>
        <v>10</v>
      </c>
      <c r="F3" s="6">
        <f>COUNTIF('Sales Log'!$G$14:$G$213,'Scoreboard by Source'!F2)</f>
        <v>4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2</v>
      </c>
      <c r="J3" s="6">
        <f>COUNTIF('Sales Log'!$G$14:$G$213,'Scoreboard by Source'!J2)</f>
        <v>4</v>
      </c>
      <c r="K3" s="6">
        <f>COUNTIF('Sales Log'!$G$14:$G$213,'Scoreboard by Source'!K2)</f>
        <v>4</v>
      </c>
    </row>
    <row r="4" spans="1:11" ht="22.5" customHeight="1">
      <c r="A4" s="5" t="s">
        <v>149</v>
      </c>
      <c r="B4" s="9">
        <f>B3/'Sales Log'!$D$214</f>
        <v>1</v>
      </c>
      <c r="C4" s="9">
        <f>C3/'Sales Log'!$D$214</f>
        <v>0.6097560975609756</v>
      </c>
      <c r="D4" s="9">
        <f>D3/'Sales Log'!$D$214</f>
        <v>0.24390243902439024</v>
      </c>
      <c r="E4" s="9">
        <f>E3/'Sales Log'!$D$214</f>
        <v>6.097560975609756E-2</v>
      </c>
      <c r="F4" s="9">
        <f>F3/'Sales Log'!$D$214</f>
        <v>2.4390243902439025E-2</v>
      </c>
      <c r="G4" s="9">
        <f>G3/'Sales Log'!$D$214</f>
        <v>0</v>
      </c>
      <c r="H4" s="9">
        <f>H3/'Sales Log'!$D$214</f>
        <v>0</v>
      </c>
      <c r="I4" s="9">
        <f>I3/'Sales Log'!$D$214</f>
        <v>1.2195121951219513E-2</v>
      </c>
      <c r="J4" s="9">
        <f>J3/'Sales Log'!$D$214</f>
        <v>2.4390243902439025E-2</v>
      </c>
      <c r="K4" s="9">
        <f>K3/'Sales Log'!$D$214</f>
        <v>2.4390243902439025E-2</v>
      </c>
    </row>
    <row r="5" spans="1:11" ht="22.5" customHeight="1">
      <c r="A5" s="5" t="s">
        <v>142</v>
      </c>
      <c r="B5" s="14">
        <f>COUNTIFS('Sales Log'!$I$14:$I$213,"No")/B3</f>
        <v>0.36585365853658536</v>
      </c>
      <c r="C5" s="14">
        <f>COUNTIFS('Sales Log'!$I$14:$I$213,"No",'Sales Log'!$G$14:$G$213,'Scoreboard by Source'!C2)/C3</f>
        <v>0.35</v>
      </c>
      <c r="D5" s="14">
        <f>COUNTIFS('Sales Log'!$I$14:$I$213,"No",'Sales Log'!$G$14:$G$213,'Scoreboard by Source'!D2)/D3</f>
        <v>0.55000000000000004</v>
      </c>
      <c r="E5" s="14">
        <f>COUNTIFS('Sales Log'!$I$14:$I$213,"No",'Sales Log'!$G$14:$G$213,'Scoreboard by Source'!E2)/E3</f>
        <v>0</v>
      </c>
      <c r="F5" s="14">
        <f>COUNTIFS('Sales Log'!$I$14:$I$213,"No",'Sales Log'!$G$14:$G$213,'Scoreboard by Source'!F2)/F3</f>
        <v>0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>
        <f>COUNTIFS('Sales Log'!$I$14:$I$213,"No",'Sales Log'!$G$14:$G$213,'Scoreboard by Source'!I2)/I3</f>
        <v>0</v>
      </c>
      <c r="J5" s="14">
        <f>COUNTIFS('Sales Log'!$I$14:$I$213,"No",'Sales Log'!$G$14:$G$213,'Scoreboard by Source'!J2)/J3</f>
        <v>0</v>
      </c>
      <c r="K5" s="14">
        <f>COUNTIFS('Sales Log'!$I$14:$I$213,"No",'Sales Log'!$G$14:$G$213,'Scoreboard by Source'!K2)/K3</f>
        <v>0.75</v>
      </c>
    </row>
    <row r="6" spans="1:11" s="4" customFormat="1" ht="21.75" customHeight="1">
      <c r="A6" s="11" t="s">
        <v>126</v>
      </c>
      <c r="B6" s="7">
        <f>'Sales Log'!$F$214</f>
        <v>31.646341463414632</v>
      </c>
      <c r="C6" s="24">
        <f ca="1">AVERAGEIF('Sales Log'!$G$14:$G$213,C2,'Sales Log'!$F$14:$F$209)</f>
        <v>30.14</v>
      </c>
      <c r="D6" s="24">
        <f ca="1">AVERAGEIF('Sales Log'!$G$14:$G$213,D2,'Sales Log'!$F$14:$F$209)</f>
        <v>34.524999999999999</v>
      </c>
      <c r="E6" s="24">
        <f ca="1">AVERAGEIF('Sales Log'!$G$14:$G$213,E2,'Sales Log'!$F$14:$F$209)</f>
        <v>27.6</v>
      </c>
      <c r="F6" s="24">
        <f ca="1">AVERAGEIF('Sales Log'!$G$14:$G$213,F2,'Sales Log'!$F$14:$F$209)</f>
        <v>47.5</v>
      </c>
      <c r="G6" s="24" t="e">
        <f ca="1">AVERAGEIF('Sales Log'!$G$14:$G$213,G2,'Sales Log'!$F$14:$F$209)</f>
        <v>#DIV/0!</v>
      </c>
      <c r="H6" s="24" t="e">
        <f ca="1">AVERAGEIF('Sales Log'!$G$14:$G$213,H2,'Sales Log'!$F$14:$F$209)</f>
        <v>#DIV/0!</v>
      </c>
      <c r="I6" s="24">
        <f ca="1">AVERAGEIF('Sales Log'!$G$14:$G$213,I2,'Sales Log'!$F$14:$F$209)</f>
        <v>13.5</v>
      </c>
      <c r="J6" s="24">
        <f ca="1">AVERAGEIF('Sales Log'!$G$14:$G$213,J2,'Sales Log'!$F$14:$F$209)</f>
        <v>32</v>
      </c>
      <c r="K6" s="24">
        <f ca="1">AVERAGEIF('Sales Log'!$G$14:$G$213,K2,'Sales Log'!$F$14:$F$209)</f>
        <v>43.5</v>
      </c>
    </row>
    <row r="7" spans="1:11" ht="22.5" customHeight="1">
      <c r="A7" s="5" t="s">
        <v>128</v>
      </c>
      <c r="B7" s="8">
        <f>'Sales Log'!$K$214</f>
        <v>29466.917743902439</v>
      </c>
      <c r="C7" s="8">
        <f>AVERAGEIF('Sales Log'!$G$14:$G$213,C2,'Sales Log'!$K$14:$K$213)</f>
        <v>30323.655099999996</v>
      </c>
      <c r="D7" s="8">
        <f>AVERAGEIF('Sales Log'!$G$14:$G$213,D2,'Sales Log'!$K$14:$K$213)</f>
        <v>25760.875</v>
      </c>
      <c r="E7" s="8">
        <f>AVERAGEIF('Sales Log'!$G$14:$G$213,E2,'Sales Log'!$K$14:$K$213)</f>
        <v>37737.5</v>
      </c>
      <c r="F7" s="8">
        <f>AVERAGEIF('Sales Log'!$G$14:$G$213,F2,'Sales Log'!$K$14:$K$213)</f>
        <v>24772.75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>
        <f>AVERAGEIF('Sales Log'!$G$14:$G$213,I2,'Sales Log'!$K$14:$K$213)</f>
        <v>23121.5</v>
      </c>
      <c r="J7" s="8">
        <f>AVERAGEIF('Sales Log'!$G$14:$G$213,J2,'Sales Log'!$K$14:$K$213)</f>
        <v>26437</v>
      </c>
      <c r="K7" s="8">
        <f>AVERAGEIF('Sales Log'!$G$14:$G$213,K2,'Sales Log'!$K$14:$K$213)</f>
        <v>35329.25</v>
      </c>
    </row>
    <row r="8" spans="1:11" ht="22.5" customHeight="1">
      <c r="A8" s="5" t="s">
        <v>150</v>
      </c>
      <c r="B8" s="9">
        <f>'Sales Log'!$N$214</f>
        <v>0.94778449696212907</v>
      </c>
      <c r="C8" s="14">
        <f>AVERAGEIF('Sales Log'!$G$14:$G$213,C2,'Sales Log'!$N14:$N$213)</f>
        <v>0.9447271150975256</v>
      </c>
      <c r="D8" s="14">
        <f>AVERAGEIF('Sales Log'!$G$14:$G$213,D2,'Sales Log'!$N14:$N$213)</f>
        <v>0.94251198250720059</v>
      </c>
      <c r="E8" s="14">
        <f>AVERAGEIF('Sales Log'!$G$14:$G$213,E2,'Sales Log'!$N14:$N$213)</f>
        <v>0.9780937355831556</v>
      </c>
      <c r="F8" s="14">
        <f>AVERAGEIF('Sales Log'!$G$14:$G$213,F2,'Sales Log'!$N14:$N$213)</f>
        <v>0.9284413459064178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>
        <f>AVERAGEIF('Sales Log'!$G$14:$G$213,I2,'Sales Log'!$N14:$N$213)</f>
        <v>0.99436512153008372</v>
      </c>
      <c r="J8" s="14">
        <f>AVERAGEIF('Sales Log'!$G$14:$G$213,J2,'Sales Log'!$N14:$N$213)</f>
        <v>0.96249999999999991</v>
      </c>
      <c r="K8" s="14">
        <f>AVERAGEIF('Sales Log'!$G$14:$G$213,K2,'Sales Log'!$N14:$N$213)</f>
        <v>0.96994660532232602</v>
      </c>
    </row>
    <row r="9" spans="1:11" ht="22.5" customHeight="1">
      <c r="A9" s="5" t="s">
        <v>132</v>
      </c>
      <c r="B9" s="8">
        <f>'Sales Log'!$O$214</f>
        <v>224.33225609756101</v>
      </c>
      <c r="C9" s="8">
        <f>AVERAGEIF('Sales Log'!$G$14:$G$213,C2,'Sales Log'!$O$14:$O$213)</f>
        <v>279.29490000000004</v>
      </c>
      <c r="D9" s="8">
        <f>AVERAGEIF('Sales Log'!$G$14:$G$213,D2,'Sales Log'!$O$14:$O$213)</f>
        <v>118.4</v>
      </c>
      <c r="E9" s="8">
        <f>AVERAGEIF('Sales Log'!$G$14:$G$213,E2,'Sales Log'!$O$14:$O$213)</f>
        <v>589.6</v>
      </c>
      <c r="F9" s="8">
        <f>AVERAGEIF('Sales Log'!$G$14:$G$213,F2,'Sales Log'!$O$14:$O$213)</f>
        <v>-580.5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>
        <f>AVERAGEIF('Sales Log'!$G$14:$G$213,I2,'Sales Log'!$O$14:$O$213)</f>
        <v>-334.5</v>
      </c>
      <c r="J9" s="8">
        <f>AVERAGEIF('Sales Log'!$G$14:$G$213,J2,'Sales Log'!$O$14:$O$213)</f>
        <v>0</v>
      </c>
      <c r="K9" s="8">
        <f>AVERAGEIF('Sales Log'!$G$14:$G$213,K2,'Sales Log'!$O$14:$O$213)</f>
        <v>305</v>
      </c>
    </row>
    <row r="10" spans="1:11" ht="22.5" customHeight="1">
      <c r="A10" s="5" t="s">
        <v>151</v>
      </c>
      <c r="B10" s="8">
        <f>'Sales Log'!$P$214</f>
        <v>520.81707317073176</v>
      </c>
      <c r="C10" s="8">
        <f>AVERAGEIF('Sales Log'!$G$14:$G$213,C2,'Sales Log'!$P$14:$P$213)</f>
        <v>727.25</v>
      </c>
      <c r="D10" s="8">
        <f>AVERAGEIF('Sales Log'!$G$14:$G$213,D2,'Sales Log'!$P$14:$P$213)</f>
        <v>364.75</v>
      </c>
      <c r="E10" s="8">
        <f>AVERAGEIF('Sales Log'!$G$14:$G$213,E2,'Sales Log'!$P$14:$P$213)</f>
        <v>1358.9</v>
      </c>
      <c r="F10" s="8">
        <f>AVERAGEIF('Sales Log'!$G$14:$G$213,F2,'Sales Log'!$P$14:$P$213)</f>
        <v>-1330.5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>
        <f>AVERAGEIF('Sales Log'!$G$14:$G$213,I2,'Sales Log'!$P$14:$P$213)</f>
        <v>2734.5</v>
      </c>
      <c r="J10" s="8">
        <f>AVERAGEIF('Sales Log'!$G$14:$G$213,J2,'Sales Log'!$P$14:$P$213)</f>
        <v>-1678.75</v>
      </c>
      <c r="K10" s="8">
        <f>AVERAGEIF('Sales Log'!$G$14:$G$213,K2,'Sales Log'!$P$14:$P$213)</f>
        <v>-2230.5</v>
      </c>
    </row>
    <row r="11" spans="1:11" ht="22.5" customHeight="1">
      <c r="A11" s="5" t="s">
        <v>134</v>
      </c>
      <c r="B11" s="8">
        <f>'Sales Log'!$Q$214</f>
        <v>1823.1707317073171</v>
      </c>
      <c r="C11" s="8">
        <f>AVERAGEIF('Sales Log'!$G$14:$G$213,C2,'Sales Log'!$Q$14:$Q$213)</f>
        <v>1808.22</v>
      </c>
      <c r="D11" s="8">
        <f>AVERAGEIF('Sales Log'!$G$14:$G$213,D2,'Sales Log'!$Q$14:$Q$213)</f>
        <v>1704.75</v>
      </c>
      <c r="E11" s="8">
        <f>AVERAGEIF('Sales Log'!$G$14:$G$213,E2,'Sales Log'!$Q$14:$Q$213)</f>
        <v>2270.1</v>
      </c>
      <c r="F11" s="8">
        <f>AVERAGEIF('Sales Log'!$G$14:$G$213,F2,'Sales Log'!$Q$14:$Q$213)</f>
        <v>1634.5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>
        <f>AVERAGEIF('Sales Log'!$G$14:$G$213,I2,'Sales Log'!$Q$14:$Q$213)</f>
        <v>1214.5</v>
      </c>
      <c r="J11" s="8">
        <f>AVERAGEIF('Sales Log'!$G$14:$G$213,J2,'Sales Log'!$Q$14:$Q$213)</f>
        <v>1756</v>
      </c>
      <c r="K11" s="8">
        <f>AVERAGEIF('Sales Log'!$G$14:$G$213,K2,'Sales Log'!$Q$14:$Q$213)</f>
        <v>2824</v>
      </c>
    </row>
    <row r="12" spans="1:11" ht="22.5" customHeight="1">
      <c r="A12" s="5" t="s">
        <v>135</v>
      </c>
      <c r="B12" s="8">
        <f>'Sales Log'!$R$214</f>
        <v>2343.9878048780488</v>
      </c>
      <c r="C12" s="8">
        <f>AVERAGEIF('Sales Log'!$G$14:$G$213,C2,'Sales Log'!$R$14:$R$213)</f>
        <v>2535.4699999999998</v>
      </c>
      <c r="D12" s="8">
        <f>AVERAGEIF('Sales Log'!$G$14:$G$213,D2,'Sales Log'!$R$14:$R$213)</f>
        <v>2069.5</v>
      </c>
      <c r="E12" s="8">
        <f>AVERAGEIF('Sales Log'!$G$14:$G$213,E2,'Sales Log'!$R$14:$R$213)</f>
        <v>3629</v>
      </c>
      <c r="F12" s="8">
        <f>AVERAGEIF('Sales Log'!$G$14:$G$213,F2,'Sales Log'!$R$14:$R$213)</f>
        <v>304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>
        <f>AVERAGEIF('Sales Log'!$G$14:$G$213,I2,'Sales Log'!$R$14:$R$213)</f>
        <v>3949</v>
      </c>
      <c r="J12" s="8">
        <f>AVERAGEIF('Sales Log'!$G$14:$G$213,J2,'Sales Log'!$R$14:$R$213)</f>
        <v>77.25</v>
      </c>
      <c r="K12" s="8">
        <f>AVERAGEIF('Sales Log'!$G$14:$G$213,K2,'Sales Log'!$R$14:$R$213)</f>
        <v>593.5</v>
      </c>
    </row>
    <row r="13" spans="1:11" ht="21.75" customHeight="1">
      <c r="A13" s="5" t="s">
        <v>136</v>
      </c>
      <c r="B13" s="10">
        <f>B12*B3</f>
        <v>384414</v>
      </c>
      <c r="C13" s="10">
        <f>C12*C3</f>
        <v>253546.99999999997</v>
      </c>
      <c r="D13" s="10">
        <f t="shared" ref="D13:K13" si="0">D12*D3</f>
        <v>82780</v>
      </c>
      <c r="E13" s="10">
        <f t="shared" si="0"/>
        <v>36290</v>
      </c>
      <c r="F13" s="10">
        <f t="shared" si="0"/>
        <v>1216</v>
      </c>
      <c r="G13" s="10" t="e">
        <f t="shared" si="0"/>
        <v>#DIV/0!</v>
      </c>
      <c r="H13" s="10" t="e">
        <f t="shared" si="0"/>
        <v>#DIV/0!</v>
      </c>
      <c r="I13" s="10">
        <f t="shared" si="0"/>
        <v>7898</v>
      </c>
      <c r="J13" s="10">
        <f t="shared" ref="J13" si="1">J12*J3</f>
        <v>309</v>
      </c>
      <c r="K13" s="10">
        <f t="shared" si="0"/>
        <v>2374</v>
      </c>
    </row>
    <row r="14" spans="1:11" ht="21.75" customHeight="1">
      <c r="A14" s="5" t="s">
        <v>90</v>
      </c>
      <c r="B14" s="9">
        <f>(B12/(B7)*(360/B6))</f>
        <v>0.90489799934411086</v>
      </c>
      <c r="C14" s="9">
        <f ca="1">(C12/(C7)*(360/C6))</f>
        <v>0.99870260050026538</v>
      </c>
      <c r="D14" s="9">
        <f t="shared" ref="D14:K14" ca="1" si="2">(D12/(D7)*(360/D6))</f>
        <v>0.83767129597520618</v>
      </c>
      <c r="E14" s="9">
        <f t="shared" ca="1" si="2"/>
        <v>1.2543168627676886</v>
      </c>
      <c r="F14" s="9">
        <f t="shared" ca="1" si="2"/>
        <v>9.3005419261083244E-2</v>
      </c>
      <c r="G14" s="9" t="e">
        <f t="shared" ca="1" si="2"/>
        <v>#DIV/0!</v>
      </c>
      <c r="H14" s="9" t="e">
        <f t="shared" ca="1" si="2"/>
        <v>#DIV/0!</v>
      </c>
      <c r="I14" s="9">
        <f t="shared" ca="1" si="2"/>
        <v>4.5544911301890734</v>
      </c>
      <c r="J14" s="9">
        <f t="shared" ref="J14" ca="1" si="3">(J12/(J7)*(360/J6))</f>
        <v>3.2872962136399744E-2</v>
      </c>
      <c r="K14" s="9">
        <f t="shared" ca="1" si="2"/>
        <v>0.13902712732172448</v>
      </c>
    </row>
    <row r="15" spans="1:11" ht="21.75" customHeight="1">
      <c r="A15" s="5" t="s">
        <v>137</v>
      </c>
      <c r="B15" s="9">
        <f>'Sales Log'!AA214/'Scoreboard Total'!B3</f>
        <v>0.46951219512195119</v>
      </c>
      <c r="C15" s="9">
        <f>COUNTIFS('Sales Log'!$G$14:$G$213,C2,'Sales Log'!$AA$14:$AA$213,"Yes")/C$3</f>
        <v>0.55000000000000004</v>
      </c>
      <c r="D15" s="9">
        <f>COUNTIFS('Sales Log'!$G$14:$G$213,D2,'Sales Log'!$AA$14:$AA$213,"Yes")/D$3</f>
        <v>0.25</v>
      </c>
      <c r="E15" s="9">
        <f>COUNTIFS('Sales Log'!$G$14:$G$213,E2,'Sales Log'!$AA$14:$AA$213,"Yes")/E$3</f>
        <v>0.7</v>
      </c>
      <c r="F15" s="9">
        <f>COUNTIFS('Sales Log'!$G$14:$G$213,F2,'Sales Log'!$AA$14:$AA$213,"Yes")/F$3</f>
        <v>0.5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>
        <f>COUNTIFS('Sales Log'!$G$14:$G$213,I2,'Sales Log'!$AA$14:$AA$213,"Yes")/I$3</f>
        <v>0</v>
      </c>
      <c r="J15" s="9">
        <f>COUNTIFS('Sales Log'!$G$14:$G$213,J2,'Sales Log'!$AA$14:$AA$213,"Yes")/J$3</f>
        <v>0.5</v>
      </c>
      <c r="K15" s="9">
        <f>COUNTIFS('Sales Log'!$G$14:$G$213,K2,'Sales Log'!$AA$14:$AA$213,"Yes")/K$3</f>
        <v>0.25</v>
      </c>
    </row>
    <row r="16" spans="1:11" ht="21.75" customHeight="1">
      <c r="A16" s="5" t="s">
        <v>138</v>
      </c>
      <c r="B16" s="114">
        <f>'Sales Log'!$AB$214</f>
        <v>-485.7560975609756</v>
      </c>
      <c r="C16" s="114">
        <f>AVERAGEIF('Sales Log'!$G$14:$G$213,C2,'Sales Log'!$AB$14:$AB$213)</f>
        <v>-525.88</v>
      </c>
      <c r="D16" s="114">
        <f>AVERAGEIF('Sales Log'!$G$14:$G$213,D2,'Sales Log'!$AB$14:$AB$213)</f>
        <v>-351.9</v>
      </c>
      <c r="E16" s="114">
        <f>AVERAGEIF('Sales Log'!$G$14:$G$213,E2,'Sales Log'!$AB$14:$AB$213)</f>
        <v>-1100</v>
      </c>
      <c r="F16" s="114">
        <f>AVERAGEIF('Sales Log'!$G$14:$G$213,F2,'Sales Log'!$AB$14:$AB$213)</f>
        <v>-500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>
        <f>AVERAGEIF('Sales Log'!$G$14:$G$213,I2,'Sales Log'!$AB$14:$AB$213)</f>
        <v>0</v>
      </c>
      <c r="J16" s="114">
        <f>AVERAGEIF('Sales Log'!$G$14:$G$213,J2,'Sales Log'!$AB$14:$AB$213)</f>
        <v>0</v>
      </c>
      <c r="K16" s="114">
        <f>AVERAGEIF('Sales Log'!$G$14:$G$213,K2,'Sales Log'!$AB$14:$AB$213)</f>
        <v>0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GM PG CBG</cp:lastModifiedBy>
  <cp:revision/>
  <dcterms:created xsi:type="dcterms:W3CDTF">2015-12-28T19:26:50Z</dcterms:created>
  <dcterms:modified xsi:type="dcterms:W3CDTF">2023-10-20T17:40:23Z</dcterms:modified>
  <cp:category/>
  <cp:contentStatus/>
</cp:coreProperties>
</file>