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9435" windowHeight="4050" tabRatio="964" firstSheet="2" activeTab="3"/>
  </bookViews>
  <sheets>
    <sheet name="Priorizar" sheetId="1" r:id="rId1"/>
    <sheet name="Proyecto" sheetId="2" r:id="rId2"/>
    <sheet name="Equipos" sheetId="3" r:id="rId3"/>
    <sheet name="Recursos de Trabajo" sheetId="4" r:id="rId4"/>
    <sheet name="Departamentos" sheetId="7" r:id="rId5"/>
    <sheet name="Tabla CostosProyDepto" sheetId="9" r:id="rId6"/>
    <sheet name="ConsolidaProyecto" sheetId="8" r:id="rId7"/>
    <sheet name="CostoxDepto" sheetId="6" r:id="rId8"/>
    <sheet name="FlujosCaja" sheetId="10" r:id="rId9"/>
    <sheet name="Financistas" sheetId="11" r:id="rId10"/>
    <sheet name="Tablas" sheetId="12" r:id="rId11"/>
    <sheet name="Contratistas" sheetId="13" r:id="rId12"/>
    <sheet name="FlujoCaja2" sheetId="14" r:id="rId13"/>
    <sheet name="Hoja1" sheetId="15" r:id="rId14"/>
  </sheets>
  <definedNames>
    <definedName name="SALARIO">Priorizar!$A$4:$A$13</definedName>
  </definedNames>
  <calcPr calcId="144525"/>
  <customWorkbookViews>
    <customWorkbookView name="Usuario - Vista personalizada" guid="{BEA796F3-A52F-431A-AFFF-913FC1A42D3C}" mergeInterval="0" personalView="1" maximized="1" windowWidth="1360" windowHeight="582" tabRatio="964" activeSheetId="9"/>
  </customWorkbookViews>
  <pivotCaches>
    <pivotCache cacheId="0" r:id="rId15"/>
    <pivotCache cacheId="1" r:id="rId16"/>
  </pivotCaches>
</workbook>
</file>

<file path=xl/calcChain.xml><?xml version="1.0" encoding="utf-8"?>
<calcChain xmlns="http://schemas.openxmlformats.org/spreadsheetml/2006/main">
  <c r="B11" i="10" l="1"/>
  <c r="B8" i="10"/>
  <c r="C3" i="7"/>
  <c r="G3" i="6"/>
  <c r="F4" i="4"/>
  <c r="E3" i="4"/>
  <c r="B12" i="10" l="1"/>
  <c r="C10" i="6"/>
  <c r="C9" i="14"/>
  <c r="C8" i="14"/>
  <c r="B6" i="15"/>
  <c r="A6" i="15"/>
  <c r="B3" i="15"/>
  <c r="B3" i="6"/>
  <c r="C9" i="6" l="1"/>
  <c r="D16" i="9"/>
  <c r="D18" i="9"/>
  <c r="D20" i="9"/>
  <c r="D22" i="9"/>
  <c r="I11" i="8"/>
  <c r="I2" i="8"/>
  <c r="C5" i="3" l="1"/>
  <c r="H11" i="6" l="1"/>
  <c r="F11" i="6"/>
  <c r="B10" i="6"/>
  <c r="M9" i="14" l="1"/>
  <c r="J10" i="14"/>
  <c r="K10" i="14"/>
  <c r="L10" i="14"/>
  <c r="B10" i="14"/>
  <c r="B3" i="14"/>
  <c r="M8" i="14" l="1"/>
  <c r="B11" i="14"/>
  <c r="F1" i="14"/>
  <c r="P1" i="1"/>
  <c r="P8" i="1"/>
  <c r="P6" i="1"/>
  <c r="P5" i="1"/>
  <c r="M8" i="2"/>
  <c r="M9" i="2"/>
  <c r="M10" i="2"/>
  <c r="M11" i="2"/>
  <c r="M5" i="2"/>
  <c r="M6" i="2"/>
  <c r="M7" i="2"/>
  <c r="M4" i="2"/>
  <c r="C10" i="14" l="1"/>
  <c r="C11" i="14" s="1"/>
  <c r="C13" i="10"/>
  <c r="B13" i="10"/>
  <c r="D10" i="14" l="1"/>
  <c r="D11" i="14" s="1"/>
  <c r="E10" i="14"/>
  <c r="C3" i="6"/>
  <c r="C4" i="6"/>
  <c r="C5" i="6"/>
  <c r="C6" i="6"/>
  <c r="C7" i="6"/>
  <c r="C8" i="6"/>
  <c r="C8" i="8"/>
  <c r="C10" i="8"/>
  <c r="E3" i="6" l="1"/>
  <c r="I3" i="6"/>
  <c r="C3" i="8"/>
  <c r="C5" i="8"/>
  <c r="C9" i="8"/>
  <c r="C7" i="8"/>
  <c r="D10" i="8"/>
  <c r="D13" i="10"/>
  <c r="J11" i="14"/>
  <c r="E11" i="14"/>
  <c r="F10" i="14"/>
  <c r="F1" i="10"/>
  <c r="D8" i="9" l="1"/>
  <c r="D15" i="9"/>
  <c r="D9" i="8"/>
  <c r="D21" i="9"/>
  <c r="D5" i="8"/>
  <c r="D17" i="9"/>
  <c r="D4" i="8"/>
  <c r="D7" i="9"/>
  <c r="E5" i="8"/>
  <c r="D8" i="8"/>
  <c r="D6" i="8"/>
  <c r="E8" i="8"/>
  <c r="D10" i="9"/>
  <c r="D9" i="9"/>
  <c r="E7" i="8"/>
  <c r="E10" i="8"/>
  <c r="D12" i="9"/>
  <c r="E9" i="8"/>
  <c r="D11" i="9"/>
  <c r="E13" i="10"/>
  <c r="F13" i="10"/>
  <c r="F11" i="14"/>
  <c r="G10" i="14"/>
  <c r="K11" i="14"/>
  <c r="L11" i="14"/>
  <c r="E1" i="7"/>
  <c r="E6" i="8" l="1"/>
  <c r="D3" i="8"/>
  <c r="D7" i="8"/>
  <c r="D19" i="9"/>
  <c r="E4" i="8"/>
  <c r="D6" i="9"/>
  <c r="E3" i="8"/>
  <c r="D5" i="9"/>
  <c r="G11" i="14"/>
  <c r="I2" i="2"/>
  <c r="D4" i="9" l="1"/>
  <c r="H10" i="14"/>
  <c r="H11" i="14" s="1"/>
  <c r="I10" i="14"/>
  <c r="I11" i="14" s="1"/>
  <c r="G13" i="10"/>
  <c r="C9" i="3"/>
  <c r="C6" i="3"/>
  <c r="C7" i="3"/>
  <c r="C8" i="3"/>
  <c r="C13" i="3"/>
  <c r="J13" i="10" l="1"/>
  <c r="I13" i="10"/>
  <c r="H13" i="10"/>
  <c r="D14" i="14"/>
  <c r="C14" i="14"/>
  <c r="B14" i="14"/>
  <c r="C11" i="3"/>
  <c r="C16" i="3" s="1"/>
  <c r="B9" i="10" l="1"/>
  <c r="D11" i="10" l="1"/>
  <c r="C11" i="10"/>
  <c r="D34" i="8" l="1"/>
  <c r="D33" i="8"/>
  <c r="D31" i="8"/>
  <c r="D30" i="8"/>
  <c r="D29" i="8"/>
  <c r="D28" i="8"/>
  <c r="D27" i="8"/>
  <c r="D26" i="8"/>
  <c r="D25" i="8"/>
  <c r="D23" i="8"/>
  <c r="D22" i="8"/>
  <c r="D21" i="8"/>
  <c r="D20" i="8"/>
  <c r="D19" i="8"/>
  <c r="D18" i="8"/>
  <c r="D17" i="8"/>
  <c r="D15" i="8"/>
  <c r="D14" i="8"/>
  <c r="D13" i="8"/>
  <c r="D12" i="8"/>
  <c r="D11" i="8"/>
  <c r="D11" i="6"/>
  <c r="C6" i="8" l="1"/>
  <c r="C4" i="8" l="1"/>
  <c r="D14" i="9" l="1"/>
  <c r="D13" i="9" s="1"/>
</calcChain>
</file>

<file path=xl/sharedStrings.xml><?xml version="1.0" encoding="utf-8"?>
<sst xmlns="http://schemas.openxmlformats.org/spreadsheetml/2006/main" count="394" uniqueCount="211">
  <si>
    <t>NOMBRE</t>
  </si>
  <si>
    <t>NETO</t>
  </si>
  <si>
    <t>TIR</t>
  </si>
  <si>
    <t>costo operario</t>
  </si>
  <si>
    <t>OPERARIO</t>
  </si>
  <si>
    <t>factor prestacional</t>
  </si>
  <si>
    <t>sueldo mes</t>
  </si>
  <si>
    <t>Tarifa semanal</t>
  </si>
  <si>
    <t>Mantenimiento anual</t>
  </si>
  <si>
    <t>CODIGO</t>
  </si>
  <si>
    <t>TASA DIARIA</t>
  </si>
  <si>
    <t>2190</t>
  </si>
  <si>
    <t>0980</t>
  </si>
  <si>
    <t>0345</t>
  </si>
  <si>
    <t>0278</t>
  </si>
  <si>
    <t>0450</t>
  </si>
  <si>
    <t>2360</t>
  </si>
  <si>
    <t>4500</t>
  </si>
  <si>
    <t>RRHH</t>
  </si>
  <si>
    <t>PROYECTOS</t>
  </si>
  <si>
    <t>CONTABILIDAD</t>
  </si>
  <si>
    <t>COMERCIO</t>
  </si>
  <si>
    <t>SISTEMAS</t>
  </si>
  <si>
    <t>SEGURIDAD</t>
  </si>
  <si>
    <t>CALIDAD</t>
  </si>
  <si>
    <t>DEPARTAMENTO</t>
  </si>
  <si>
    <t>Año</t>
  </si>
  <si>
    <t>COSTO 2013</t>
  </si>
  <si>
    <t>TOTALES</t>
  </si>
  <si>
    <t>PROYECTO 2</t>
  </si>
  <si>
    <t>PROYECTO 3</t>
  </si>
  <si>
    <t>PROYECTO 4</t>
  </si>
  <si>
    <t>Etiquetas de fila</t>
  </si>
  <si>
    <t>Total general</t>
  </si>
  <si>
    <t>Suma de COSTO 2013</t>
  </si>
  <si>
    <t>Año 1</t>
  </si>
  <si>
    <t>Año 0</t>
  </si>
  <si>
    <t>Año 2</t>
  </si>
  <si>
    <t>Año 3</t>
  </si>
  <si>
    <t>Año 4</t>
  </si>
  <si>
    <t>Año 5</t>
  </si>
  <si>
    <t>Año 6</t>
  </si>
  <si>
    <t>Año 7</t>
  </si>
  <si>
    <t>Año 8</t>
  </si>
  <si>
    <t>Año 9</t>
  </si>
  <si>
    <t>Año 10</t>
  </si>
  <si>
    <t>Gerente</t>
  </si>
  <si>
    <t>Fecha terminación estimada</t>
  </si>
  <si>
    <t>Plan</t>
  </si>
  <si>
    <t>Prioridad</t>
  </si>
  <si>
    <t>Nombre proyecto:</t>
  </si>
  <si>
    <t>Fecha estimada inicio</t>
  </si>
  <si>
    <t>Requiere financiación externa?</t>
  </si>
  <si>
    <t>No</t>
  </si>
  <si>
    <t>Codigo</t>
  </si>
  <si>
    <t>TOTAL</t>
  </si>
  <si>
    <t xml:space="preserve">Nombre </t>
  </si>
  <si>
    <t>Pymes</t>
  </si>
  <si>
    <t>Monto Max.</t>
  </si>
  <si>
    <t>Interes</t>
  </si>
  <si>
    <t>Plazo</t>
  </si>
  <si>
    <t>Citibank</t>
  </si>
  <si>
    <t>Bogota</t>
  </si>
  <si>
    <t>Bancolombia</t>
  </si>
  <si>
    <t>Ley 30</t>
  </si>
  <si>
    <t>ABC10</t>
  </si>
  <si>
    <t>Si</t>
  </si>
  <si>
    <t>ABC11</t>
  </si>
  <si>
    <t>ABC12</t>
  </si>
  <si>
    <t>Ingresos</t>
  </si>
  <si>
    <t>Egresos:</t>
  </si>
  <si>
    <t>Laborables</t>
  </si>
  <si>
    <t>Materiales</t>
  </si>
  <si>
    <t>Contratos</t>
  </si>
  <si>
    <t>Intereses</t>
  </si>
  <si>
    <t>Total egresos</t>
  </si>
  <si>
    <t>Valor Compra Equipos</t>
  </si>
  <si>
    <t>Tasa Oportunidad</t>
  </si>
  <si>
    <t>VLR. PRESENTE NETO</t>
  </si>
  <si>
    <t>Si_No</t>
  </si>
  <si>
    <t>Horas laboradas</t>
  </si>
  <si>
    <t>PLANEADO</t>
  </si>
  <si>
    <t>RECURSOS LABORABLES</t>
  </si>
  <si>
    <t>Fondos propios</t>
  </si>
  <si>
    <t>Depreciac. acumulada -linea recta</t>
  </si>
  <si>
    <t>EQUIPO Y MODELO:</t>
  </si>
  <si>
    <t>FECHA:</t>
  </si>
  <si>
    <t>COSTO US</t>
  </si>
  <si>
    <t>PESOS</t>
  </si>
  <si>
    <t>ITEM</t>
  </si>
  <si>
    <t>Tasa de cambio:</t>
  </si>
  <si>
    <t>COSTO PROPIEDAD</t>
  </si>
  <si>
    <t>Vida util en años</t>
  </si>
  <si>
    <t>Costo propiedad anual</t>
  </si>
  <si>
    <t>Costo operación anual</t>
  </si>
  <si>
    <t>Impuestos año</t>
  </si>
  <si>
    <r>
      <t>- </t>
    </r>
    <r>
      <rPr>
        <b/>
        <sz val="10"/>
        <color theme="1"/>
        <rFont val="Arial"/>
        <family val="2"/>
      </rPr>
      <t>Valor de la máquina en dólares.</t>
    </r>
  </si>
  <si>
    <r>
      <t xml:space="preserve">- </t>
    </r>
    <r>
      <rPr>
        <b/>
        <sz val="10"/>
        <color theme="1"/>
        <rFont val="Arial"/>
        <family val="2"/>
      </rPr>
      <t>Gastos de transporte y embarque</t>
    </r>
  </si>
  <si>
    <r>
      <t>-  </t>
    </r>
    <r>
      <rPr>
        <b/>
        <sz val="10"/>
        <color theme="1"/>
        <rFont val="Arial"/>
        <family val="2"/>
      </rPr>
      <t>Fletes</t>
    </r>
  </si>
  <si>
    <r>
      <t>- </t>
    </r>
    <r>
      <rPr>
        <b/>
        <sz val="10"/>
        <color theme="1"/>
        <rFont val="Arial"/>
        <family val="2"/>
      </rPr>
      <t>Seguros</t>
    </r>
  </si>
  <si>
    <r>
      <t>- </t>
    </r>
    <r>
      <rPr>
        <b/>
        <sz val="10"/>
        <color theme="1"/>
        <rFont val="Arial"/>
        <family val="2"/>
      </rPr>
      <t>Apertura carta de crédito, comisiones bancarias, etc.</t>
    </r>
  </si>
  <si>
    <r>
      <t>- </t>
    </r>
    <r>
      <rPr>
        <b/>
        <sz val="10"/>
        <color theme="1"/>
        <rFont val="Arial"/>
        <family val="2"/>
      </rPr>
      <t>Derechos de aduana</t>
    </r>
  </si>
  <si>
    <r>
      <t>- </t>
    </r>
    <r>
      <rPr>
        <b/>
        <sz val="10"/>
        <color theme="1"/>
        <rFont val="Arial"/>
        <family val="2"/>
      </rPr>
      <t>Impuestos a importaciones.</t>
    </r>
  </si>
  <si>
    <r>
      <t>-</t>
    </r>
    <r>
      <rPr>
        <b/>
        <sz val="10"/>
        <color theme="1"/>
        <rFont val="Arial"/>
        <family val="2"/>
      </rPr>
      <t>Transportes y seguros terrestres.</t>
    </r>
  </si>
  <si>
    <r>
      <t xml:space="preserve">- </t>
    </r>
    <r>
      <rPr>
        <b/>
        <sz val="10"/>
        <color theme="1"/>
        <rFont val="Arial"/>
        <family val="2"/>
      </rPr>
      <t xml:space="preserve">I.V.A. </t>
    </r>
  </si>
  <si>
    <r>
      <t>- </t>
    </r>
    <r>
      <rPr>
        <b/>
        <sz val="10"/>
        <color theme="1"/>
        <rFont val="Arial"/>
        <family val="2"/>
      </rPr>
      <t>Porcentaje para compensar la devaluación y costos de Financiación durante la importación e imprevistos</t>
    </r>
  </si>
  <si>
    <r>
      <t xml:space="preserve">- </t>
    </r>
    <r>
      <rPr>
        <b/>
        <sz val="10"/>
        <color theme="1"/>
        <rFont val="Arial"/>
        <family val="2"/>
      </rPr>
      <t>Otros</t>
    </r>
  </si>
  <si>
    <t>Tarifa diaria/semanal/mensual</t>
  </si>
  <si>
    <t>Hora</t>
  </si>
  <si>
    <t>Dia</t>
  </si>
  <si>
    <t>mes</t>
  </si>
  <si>
    <t>XY023</t>
  </si>
  <si>
    <t>Fecha:</t>
  </si>
  <si>
    <t>Presupuesto requerido</t>
  </si>
  <si>
    <t>Nombre</t>
  </si>
  <si>
    <t>Perfil</t>
  </si>
  <si>
    <t>Representante Legal</t>
  </si>
  <si>
    <t>Mesys Ltda</t>
  </si>
  <si>
    <t>Compañía  ABC SA.</t>
  </si>
  <si>
    <t>Compañía  XYZ SA.</t>
  </si>
  <si>
    <t>Redes Comunicación</t>
  </si>
  <si>
    <t>Desarrollos en la Web</t>
  </si>
  <si>
    <t>Jorge Renteria</t>
  </si>
  <si>
    <t>Salustiano Tapias</t>
  </si>
  <si>
    <t>Programación Java</t>
  </si>
  <si>
    <t>Status</t>
  </si>
  <si>
    <t>Planeado</t>
  </si>
  <si>
    <t>En ejecucion</t>
  </si>
  <si>
    <t>Proyecto TIC 1</t>
  </si>
  <si>
    <t>LILIANA RUIZ</t>
  </si>
  <si>
    <t>PROYECTO TIC 1</t>
  </si>
  <si>
    <t>Centro de costo</t>
  </si>
  <si>
    <t>100.230.45</t>
  </si>
  <si>
    <t>100.240.36</t>
  </si>
  <si>
    <t>100.240.45</t>
  </si>
  <si>
    <t>COSTO PLANEADO 2013</t>
  </si>
  <si>
    <t>COSTO PLANEADO 2014</t>
  </si>
  <si>
    <t>COSTO PLANEADO 2015</t>
  </si>
  <si>
    <t>COSTO PLANEADO ($)</t>
  </si>
  <si>
    <t>Proyecto TIC 2</t>
  </si>
  <si>
    <t>Proyecto TIC 3</t>
  </si>
  <si>
    <t>Proyecto TIC 4</t>
  </si>
  <si>
    <t>Maximiliano Niño</t>
  </si>
  <si>
    <t>Tiempo contratación (años)</t>
  </si>
  <si>
    <t>COMISION</t>
  </si>
  <si>
    <t>Factor Prestacional</t>
  </si>
  <si>
    <t>ORIGEN RECURSOS</t>
  </si>
  <si>
    <t>Proyecto</t>
  </si>
  <si>
    <t>Oportunidad del Negocio (15%)</t>
  </si>
  <si>
    <t>Proyecto 1</t>
  </si>
  <si>
    <t>Proyecto 2</t>
  </si>
  <si>
    <t>Proyecto 3</t>
  </si>
  <si>
    <t>Proyecto 4</t>
  </si>
  <si>
    <t>TOTAL Utils</t>
  </si>
  <si>
    <t>CONTRATOS</t>
  </si>
  <si>
    <t>Reserva por contingencias</t>
  </si>
  <si>
    <t>Porcentaje Reserva Administr.</t>
  </si>
  <si>
    <t>Presupuesto Total</t>
  </si>
  <si>
    <t>Atractividad</t>
  </si>
  <si>
    <t>Tiempo de vigencia patente</t>
  </si>
  <si>
    <t>Tiempo lanzamiento</t>
  </si>
  <si>
    <t>Tiempo del concepto previo</t>
  </si>
  <si>
    <t>Gastos de capital</t>
  </si>
  <si>
    <t>Costo lanzamiento</t>
  </si>
  <si>
    <t>Costo del concepto previo</t>
  </si>
  <si>
    <t>Prob.  Infringir patente</t>
  </si>
  <si>
    <t>Prob. del lanzamiento</t>
  </si>
  <si>
    <t>Prob. del concepto previo</t>
  </si>
  <si>
    <t>Contribucion a metas financieras</t>
  </si>
  <si>
    <t>Constribucion a metas estrategicas</t>
  </si>
  <si>
    <t>Diferenciacion del producto</t>
  </si>
  <si>
    <t>Beneficios</t>
  </si>
  <si>
    <t>Riesgos</t>
  </si>
  <si>
    <t>COSTOS</t>
  </si>
  <si>
    <t>TIEMPO</t>
  </si>
  <si>
    <t>Monto a prestar</t>
  </si>
  <si>
    <t>Interes prestamo</t>
  </si>
  <si>
    <t>Plazo (años)</t>
  </si>
  <si>
    <t>Amortizaciones</t>
  </si>
  <si>
    <t>ROI (1o., 2o…8o. año)</t>
  </si>
  <si>
    <t>OFIC. De PROYECTOS</t>
  </si>
  <si>
    <t>Plan renovar mercados</t>
  </si>
  <si>
    <t>Terminado</t>
  </si>
  <si>
    <t>Seguro anual</t>
  </si>
  <si>
    <t>Tarifa diaria</t>
  </si>
  <si>
    <t>Total costo operacional anual</t>
  </si>
  <si>
    <t>TRABAJO PLANEADO (dias)</t>
  </si>
  <si>
    <t xml:space="preserve"> COSTOS 2013</t>
  </si>
  <si>
    <t>COSTOS 2014</t>
  </si>
  <si>
    <t>COSTOS 2015</t>
  </si>
  <si>
    <t>COSTO 2014</t>
  </si>
  <si>
    <t>COSTO 2015</t>
  </si>
  <si>
    <t>Costo/Salario mes</t>
  </si>
  <si>
    <t>Costos 2015</t>
  </si>
  <si>
    <t>Suma de COSTO 2014</t>
  </si>
  <si>
    <t>Codigo Dpto.</t>
  </si>
  <si>
    <t>Mes 0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</si>
  <si>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</si>
  <si>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</si>
  <si>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</si>
  <si>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</si>
  <si>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</si>
  <si>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</si>
  <si>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</si>
  <si>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</si>
  <si>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</si>
  <si>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</si>
  <si>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</si>
  <si>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</si>
  <si>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VPN…</t>
  </si>
  <si>
    <t>TRABAJO PLANEADO (días)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</si>
</sst>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8" formatCode="&quot;$&quot;\ #,##0.00_);[Red]\(&quot;$&quot;\ #,##0.00\)"/>
    <numFmt numFmtId="43" formatCode="_(* #,##0.00_);_(* \(#,##0.00\);_(* &quot;-&quot;??_);_(@_)"/>
    <numFmt numFmtId="164" formatCode="dd/mm/yyyy;@"/>
    <numFmt numFmtId="165" formatCode="&quot;$&quot;\ #,##0.00"/>
    <numFmt numFmtId="166" formatCode="&quot;$&quot;\ #,##0"/>
    <numFmt numFmtId="167" formatCode="&quot;$&quot;\ #,##0;[Red]&quot;$&quot;\ #,##0"/>
    <numFmt numFmtId="168" formatCode="#,##0.00;[Red]#,##0.00"/>
    <numFmt numFmtId="169" formatCode="&quot;$&quot;\ #,##0.00;[Red]&quot;$&quot;\ #,##0.00"/>
    <numFmt numFmtId="170" formatCode="&quot;$&quot;#,##0;[Red]&quot;$&quot;#,##0"/>
    <numFmt numFmtId="171" formatCode="&quot;$&quot;#,##0"/>
    <numFmt numFmtId="172" formatCode="&quot;$&quot;#,##0.00"/>
    <numFmt numFmtId="173" formatCode="#,##0.000"/>
    <numFmt numFmtId="17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theme="5"/>
      </right>
      <top style="medium">
        <color theme="5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5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theme="5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6" borderId="41" applyNumberFormat="0" applyAlignment="0" applyProtection="0"/>
    <xf numFmtId="0" fontId="10" fillId="7" borderId="42" applyNumberFormat="0" applyAlignment="0" applyProtection="0"/>
    <xf numFmtId="0" fontId="1" fillId="8" borderId="43" applyNumberFormat="0" applyFont="0" applyAlignment="0" applyProtection="0"/>
    <xf numFmtId="0" fontId="1" fillId="9" borderId="0" applyNumberFormat="0" applyBorder="0" applyAlignment="0" applyProtection="0"/>
  </cellStyleXfs>
  <cellXfs count="280">
    <xf numFmtId="0" fontId="0" fillId="0" borderId="0" xfId="0"/>
    <xf numFmtId="2" fontId="0" fillId="0" borderId="0" xfId="0" applyNumberFormat="1"/>
    <xf numFmtId="10" fontId="0" fillId="0" borderId="0" xfId="0" applyNumberFormat="1"/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3" fontId="0" fillId="0" borderId="0" xfId="1" applyFont="1"/>
    <xf numFmtId="43" fontId="0" fillId="0" borderId="0" xfId="0" applyNumberFormat="1"/>
    <xf numFmtId="0" fontId="0" fillId="0" borderId="2" xfId="0" applyBorder="1"/>
    <xf numFmtId="43" fontId="0" fillId="0" borderId="2" xfId="1" applyFont="1" applyBorder="1"/>
    <xf numFmtId="0" fontId="2" fillId="0" borderId="2" xfId="0" applyFont="1" applyBorder="1"/>
    <xf numFmtId="43" fontId="2" fillId="0" borderId="2" xfId="1" applyFont="1" applyBorder="1"/>
    <xf numFmtId="49" fontId="0" fillId="0" borderId="2" xfId="0" applyNumberFormat="1" applyBorder="1"/>
    <xf numFmtId="49" fontId="0" fillId="0" borderId="2" xfId="1" applyNumberFormat="1" applyFont="1" applyBorder="1"/>
    <xf numFmtId="167" fontId="0" fillId="0" borderId="2" xfId="1" applyNumberFormat="1" applyFont="1" applyBorder="1"/>
    <xf numFmtId="166" fontId="0" fillId="0" borderId="2" xfId="1" applyNumberFormat="1" applyFont="1" applyBorder="1"/>
    <xf numFmtId="0" fontId="2" fillId="2" borderId="2" xfId="0" applyFont="1" applyFill="1" applyBorder="1"/>
    <xf numFmtId="15" fontId="0" fillId="0" borderId="0" xfId="0" applyNumberFormat="1"/>
    <xf numFmtId="165" fontId="0" fillId="0" borderId="2" xfId="0" applyNumberForma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4" borderId="5" xfId="0" applyNumberFormat="1" applyFill="1" applyBorder="1" applyAlignment="1">
      <alignment wrapText="1"/>
    </xf>
    <xf numFmtId="0" fontId="0" fillId="5" borderId="2" xfId="0" applyFill="1" applyBorder="1"/>
    <xf numFmtId="49" fontId="0" fillId="5" borderId="2" xfId="0" applyNumberFormat="1" applyFill="1" applyBorder="1"/>
    <xf numFmtId="1" fontId="0" fillId="5" borderId="2" xfId="0" applyNumberFormat="1" applyFill="1" applyBorder="1"/>
    <xf numFmtId="166" fontId="0" fillId="5" borderId="2" xfId="0" applyNumberFormat="1" applyFill="1" applyBorder="1"/>
    <xf numFmtId="14" fontId="0" fillId="5" borderId="2" xfId="0" applyNumberFormat="1" applyFill="1" applyBorder="1"/>
    <xf numFmtId="3" fontId="0" fillId="0" borderId="0" xfId="0" applyNumberFormat="1"/>
    <xf numFmtId="166" fontId="0" fillId="0" borderId="0" xfId="1" applyNumberFormat="1" applyFont="1"/>
    <xf numFmtId="3" fontId="0" fillId="3" borderId="8" xfId="0" applyNumberFormat="1" applyFill="1" applyBorder="1"/>
    <xf numFmtId="0" fontId="3" fillId="0" borderId="0" xfId="0" applyFont="1"/>
    <xf numFmtId="0" fontId="2" fillId="0" borderId="8" xfId="0" applyFont="1" applyBorder="1"/>
    <xf numFmtId="0" fontId="2" fillId="0" borderId="0" xfId="0" applyFont="1"/>
    <xf numFmtId="0" fontId="0" fillId="0" borderId="0" xfId="0" applyAlignment="1">
      <alignment horizontal="right"/>
    </xf>
    <xf numFmtId="0" fontId="2" fillId="0" borderId="7" xfId="0" applyFont="1" applyBorder="1"/>
    <xf numFmtId="0" fontId="2" fillId="0" borderId="1" xfId="0" applyFont="1" applyBorder="1"/>
    <xf numFmtId="0" fontId="2" fillId="0" borderId="10" xfId="0" applyFont="1" applyBorder="1"/>
    <xf numFmtId="49" fontId="0" fillId="5" borderId="4" xfId="0" applyNumberFormat="1" applyFill="1" applyBorder="1"/>
    <xf numFmtId="14" fontId="0" fillId="5" borderId="4" xfId="0" applyNumberFormat="1" applyFill="1" applyBorder="1"/>
    <xf numFmtId="0" fontId="0" fillId="5" borderId="4" xfId="0" applyFill="1" applyBorder="1"/>
    <xf numFmtId="1" fontId="0" fillId="5" borderId="4" xfId="0" applyNumberFormat="1" applyFill="1" applyBorder="1"/>
    <xf numFmtId="166" fontId="0" fillId="5" borderId="4" xfId="0" applyNumberFormat="1" applyFill="1" applyBorder="1"/>
    <xf numFmtId="0" fontId="2" fillId="0" borderId="11" xfId="0" applyFont="1" applyBorder="1"/>
    <xf numFmtId="0" fontId="2" fillId="0" borderId="12" xfId="0" applyFont="1" applyBorder="1"/>
    <xf numFmtId="0" fontId="2" fillId="5" borderId="14" xfId="0" applyFont="1" applyFill="1" applyBorder="1"/>
    <xf numFmtId="0" fontId="2" fillId="5" borderId="15" xfId="0" applyFont="1" applyFill="1" applyBorder="1" applyAlignment="1">
      <alignment vertical="justify" wrapText="1"/>
    </xf>
    <xf numFmtId="0" fontId="2" fillId="5" borderId="16" xfId="0" applyFont="1" applyFill="1" applyBorder="1" applyAlignment="1">
      <alignment vertical="justify" wrapText="1"/>
    </xf>
    <xf numFmtId="0" fontId="3" fillId="0" borderId="9" xfId="0" applyFont="1" applyBorder="1"/>
    <xf numFmtId="0" fontId="0" fillId="0" borderId="18" xfId="0" applyBorder="1"/>
    <xf numFmtId="0" fontId="0" fillId="0" borderId="19" xfId="0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0" borderId="22" xfId="0" applyBorder="1"/>
    <xf numFmtId="0" fontId="0" fillId="0" borderId="23" xfId="0" applyBorder="1"/>
    <xf numFmtId="0" fontId="0" fillId="0" borderId="14" xfId="0" applyBorder="1"/>
    <xf numFmtId="0" fontId="0" fillId="0" borderId="16" xfId="0" applyBorder="1"/>
    <xf numFmtId="171" fontId="0" fillId="5" borderId="2" xfId="0" applyNumberFormat="1" applyFill="1" applyBorder="1"/>
    <xf numFmtId="0" fontId="2" fillId="0" borderId="19" xfId="0" applyFont="1" applyBorder="1"/>
    <xf numFmtId="43" fontId="0" fillId="0" borderId="7" xfId="1" applyFont="1" applyBorder="1"/>
    <xf numFmtId="9" fontId="0" fillId="0" borderId="7" xfId="0" applyNumberFormat="1" applyBorder="1"/>
    <xf numFmtId="0" fontId="6" fillId="0" borderId="0" xfId="0" applyFont="1"/>
    <xf numFmtId="0" fontId="5" fillId="0" borderId="2" xfId="0" applyFont="1" applyBorder="1" applyAlignment="1">
      <alignment horizontal="justify" vertical="center" wrapText="1"/>
    </xf>
    <xf numFmtId="0" fontId="7" fillId="0" borderId="2" xfId="0" applyFont="1" applyBorder="1"/>
    <xf numFmtId="0" fontId="5" fillId="0" borderId="25" xfId="0" applyFont="1" applyBorder="1" applyAlignment="1">
      <alignment horizontal="justify" vertical="center" wrapText="1"/>
    </xf>
    <xf numFmtId="164" fontId="6" fillId="0" borderId="2" xfId="0" applyNumberFormat="1" applyFont="1" applyBorder="1"/>
    <xf numFmtId="0" fontId="5" fillId="0" borderId="26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4" fontId="6" fillId="0" borderId="2" xfId="1" applyNumberFormat="1" applyFont="1" applyBorder="1"/>
    <xf numFmtId="49" fontId="4" fillId="0" borderId="26" xfId="0" applyNumberFormat="1" applyFont="1" applyBorder="1" applyAlignment="1">
      <alignment vertical="center" wrapText="1"/>
    </xf>
    <xf numFmtId="172" fontId="6" fillId="0" borderId="2" xfId="1" applyNumberFormat="1" applyFont="1" applyBorder="1"/>
    <xf numFmtId="4" fontId="6" fillId="0" borderId="2" xfId="0" applyNumberFormat="1" applyFont="1" applyBorder="1"/>
    <xf numFmtId="172" fontId="6" fillId="0" borderId="2" xfId="0" applyNumberFormat="1" applyFont="1" applyBorder="1"/>
    <xf numFmtId="172" fontId="6" fillId="0" borderId="3" xfId="1" applyNumberFormat="1" applyFont="1" applyBorder="1"/>
    <xf numFmtId="0" fontId="6" fillId="0" borderId="0" xfId="0" applyFont="1" applyBorder="1" applyAlignment="1">
      <alignment vertical="top" wrapText="1"/>
    </xf>
    <xf numFmtId="49" fontId="5" fillId="0" borderId="26" xfId="0" applyNumberFormat="1" applyFont="1" applyBorder="1" applyAlignment="1">
      <alignment vertical="center" wrapText="1"/>
    </xf>
    <xf numFmtId="172" fontId="7" fillId="0" borderId="2" xfId="0" applyNumberFormat="1" applyFont="1" applyBorder="1"/>
    <xf numFmtId="0" fontId="6" fillId="0" borderId="2" xfId="0" applyFont="1" applyBorder="1"/>
    <xf numFmtId="0" fontId="0" fillId="0" borderId="27" xfId="0" applyBorder="1"/>
    <xf numFmtId="0" fontId="0" fillId="0" borderId="4" xfId="0" applyBorder="1"/>
    <xf numFmtId="0" fontId="7" fillId="0" borderId="2" xfId="0" applyFont="1" applyBorder="1" applyAlignment="1">
      <alignment vertical="justify" wrapText="1"/>
    </xf>
    <xf numFmtId="43" fontId="7" fillId="0" borderId="2" xfId="1" applyFont="1" applyBorder="1" applyAlignment="1">
      <alignment vertical="justify" wrapText="1"/>
    </xf>
    <xf numFmtId="0" fontId="8" fillId="0" borderId="2" xfId="0" applyFont="1" applyBorder="1" applyAlignment="1">
      <alignment vertical="justify" wrapText="1"/>
    </xf>
    <xf numFmtId="0" fontId="2" fillId="4" borderId="13" xfId="0" applyFont="1" applyFill="1" applyBorder="1" applyAlignment="1">
      <alignment vertical="justify" wrapText="1"/>
    </xf>
    <xf numFmtId="0" fontId="2" fillId="0" borderId="2" xfId="0" applyFont="1" applyFill="1" applyBorder="1"/>
    <xf numFmtId="0" fontId="0" fillId="0" borderId="2" xfId="0" applyFill="1" applyBorder="1"/>
    <xf numFmtId="166" fontId="0" fillId="0" borderId="2" xfId="0" applyNumberFormat="1" applyFill="1" applyBorder="1"/>
    <xf numFmtId="9" fontId="0" fillId="0" borderId="2" xfId="2" applyFont="1" applyFill="1" applyBorder="1"/>
    <xf numFmtId="1" fontId="0" fillId="0" borderId="2" xfId="0" applyNumberFormat="1" applyFill="1" applyBorder="1"/>
    <xf numFmtId="0" fontId="0" fillId="0" borderId="2" xfId="0" applyFont="1" applyFill="1" applyBorder="1" applyAlignment="1">
      <alignment horizontal="center"/>
    </xf>
    <xf numFmtId="0" fontId="2" fillId="4" borderId="28" xfId="0" applyFont="1" applyFill="1" applyBorder="1"/>
    <xf numFmtId="164" fontId="2" fillId="4" borderId="24" xfId="0" applyNumberFormat="1" applyFont="1" applyFill="1" applyBorder="1" applyAlignment="1">
      <alignment wrapText="1"/>
    </xf>
    <xf numFmtId="0" fontId="2" fillId="4" borderId="2" xfId="0" applyFont="1" applyFill="1" applyBorder="1"/>
    <xf numFmtId="0" fontId="0" fillId="0" borderId="29" xfId="0" applyFont="1" applyBorder="1" applyAlignment="1">
      <alignment vertical="justify" wrapText="1"/>
    </xf>
    <xf numFmtId="0" fontId="2" fillId="5" borderId="2" xfId="0" applyFont="1" applyFill="1" applyBorder="1"/>
    <xf numFmtId="0" fontId="2" fillId="5" borderId="2" xfId="0" applyFont="1" applyFill="1" applyBorder="1" applyAlignment="1">
      <alignment vertical="justify" wrapText="1"/>
    </xf>
    <xf numFmtId="0" fontId="0" fillId="0" borderId="31" xfId="0" applyBorder="1"/>
    <xf numFmtId="49" fontId="2" fillId="0" borderId="31" xfId="0" applyNumberFormat="1" applyFont="1" applyFill="1" applyBorder="1" applyAlignment="1">
      <alignment wrapText="1"/>
    </xf>
    <xf numFmtId="0" fontId="0" fillId="0" borderId="30" xfId="0" applyBorder="1"/>
    <xf numFmtId="4" fontId="0" fillId="0" borderId="2" xfId="0" applyNumberFormat="1" applyBorder="1"/>
    <xf numFmtId="0" fontId="2" fillId="0" borderId="2" xfId="0" applyFont="1" applyBorder="1" applyAlignment="1">
      <alignment vertical="justify" wrapText="1"/>
    </xf>
    <xf numFmtId="49" fontId="0" fillId="5" borderId="27" xfId="0" applyNumberFormat="1" applyFill="1" applyBorder="1"/>
    <xf numFmtId="0" fontId="0" fillId="5" borderId="27" xfId="0" applyFill="1" applyBorder="1"/>
    <xf numFmtId="1" fontId="0" fillId="5" borderId="27" xfId="0" applyNumberFormat="1" applyFill="1" applyBorder="1"/>
    <xf numFmtId="166" fontId="0" fillId="5" borderId="27" xfId="0" applyNumberFormat="1" applyFill="1" applyBorder="1"/>
    <xf numFmtId="171" fontId="0" fillId="5" borderId="27" xfId="0" applyNumberFormat="1" applyFill="1" applyBorder="1"/>
    <xf numFmtId="49" fontId="0" fillId="5" borderId="0" xfId="0" applyNumberFormat="1" applyFill="1" applyBorder="1"/>
    <xf numFmtId="0" fontId="0" fillId="5" borderId="0" xfId="0" applyFill="1" applyBorder="1"/>
    <xf numFmtId="1" fontId="0" fillId="5" borderId="0" xfId="0" applyNumberFormat="1" applyFill="1" applyBorder="1"/>
    <xf numFmtId="166" fontId="0" fillId="5" borderId="0" xfId="0" applyNumberFormat="1" applyFill="1" applyBorder="1"/>
    <xf numFmtId="171" fontId="0" fillId="5" borderId="0" xfId="0" applyNumberFormat="1" applyFill="1" applyBorder="1"/>
    <xf numFmtId="49" fontId="0" fillId="0" borderId="0" xfId="0" applyNumberFormat="1" applyBorder="1"/>
    <xf numFmtId="0" fontId="0" fillId="0" borderId="0" xfId="0" applyBorder="1"/>
    <xf numFmtId="0" fontId="2" fillId="5" borderId="32" xfId="0" applyFont="1" applyFill="1" applyBorder="1" applyAlignment="1">
      <alignment vertical="justify" wrapText="1"/>
    </xf>
    <xf numFmtId="49" fontId="0" fillId="0" borderId="27" xfId="0" applyNumberFormat="1" applyBorder="1"/>
    <xf numFmtId="49" fontId="0" fillId="5" borderId="33" xfId="0" applyNumberFormat="1" applyFill="1" applyBorder="1"/>
    <xf numFmtId="0" fontId="0" fillId="5" borderId="33" xfId="0" applyFill="1" applyBorder="1"/>
    <xf numFmtId="1" fontId="0" fillId="5" borderId="33" xfId="0" applyNumberFormat="1" applyFill="1" applyBorder="1"/>
    <xf numFmtId="166" fontId="0" fillId="5" borderId="33" xfId="0" applyNumberFormat="1" applyFill="1" applyBorder="1"/>
    <xf numFmtId="171" fontId="0" fillId="5" borderId="33" xfId="0" applyNumberFormat="1" applyFill="1" applyBorder="1"/>
    <xf numFmtId="49" fontId="0" fillId="0" borderId="33" xfId="0" applyNumberFormat="1" applyBorder="1"/>
    <xf numFmtId="43" fontId="2" fillId="0" borderId="28" xfId="1" applyFont="1" applyBorder="1"/>
    <xf numFmtId="169" fontId="0" fillId="0" borderId="34" xfId="1" applyNumberFormat="1" applyFont="1" applyBorder="1"/>
    <xf numFmtId="0" fontId="0" fillId="0" borderId="7" xfId="0" applyBorder="1"/>
    <xf numFmtId="0" fontId="2" fillId="0" borderId="15" xfId="0" applyFont="1" applyBorder="1"/>
    <xf numFmtId="168" fontId="2" fillId="0" borderId="15" xfId="0" applyNumberFormat="1" applyFont="1" applyBorder="1"/>
    <xf numFmtId="169" fontId="2" fillId="0" borderId="16" xfId="0" applyNumberFormat="1" applyFont="1" applyBorder="1"/>
    <xf numFmtId="0" fontId="2" fillId="0" borderId="1" xfId="0" applyFont="1" applyFill="1" applyBorder="1"/>
    <xf numFmtId="171" fontId="0" fillId="0" borderId="0" xfId="0" applyNumberFormat="1"/>
    <xf numFmtId="0" fontId="2" fillId="2" borderId="2" xfId="0" applyFont="1" applyFill="1" applyBorder="1" applyAlignment="1">
      <alignment vertical="justify" wrapText="1"/>
    </xf>
    <xf numFmtId="0" fontId="2" fillId="0" borderId="4" xfId="0" applyFont="1" applyBorder="1" applyAlignment="1">
      <alignment wrapText="1"/>
    </xf>
    <xf numFmtId="0" fontId="2" fillId="0" borderId="2" xfId="0" applyFont="1" applyBorder="1" applyAlignment="1">
      <alignment wrapText="1"/>
    </xf>
    <xf numFmtId="170" fontId="0" fillId="0" borderId="2" xfId="1" applyNumberFormat="1" applyFont="1" applyBorder="1"/>
    <xf numFmtId="0" fontId="2" fillId="2" borderId="2" xfId="0" applyFont="1" applyFill="1" applyBorder="1" applyAlignment="1">
      <alignment wrapText="1"/>
    </xf>
    <xf numFmtId="0" fontId="2" fillId="0" borderId="28" xfId="0" applyFont="1" applyBorder="1" applyAlignment="1">
      <alignment vertical="justify" wrapText="1"/>
    </xf>
    <xf numFmtId="0" fontId="2" fillId="0" borderId="21" xfId="0" applyFont="1" applyFill="1" applyBorder="1" applyAlignment="1">
      <alignment vertical="justify" wrapText="1"/>
    </xf>
    <xf numFmtId="167" fontId="0" fillId="0" borderId="0" xfId="1" applyNumberFormat="1" applyFont="1" applyBorder="1"/>
    <xf numFmtId="0" fontId="2" fillId="0" borderId="3" xfId="0" applyFont="1" applyBorder="1" applyAlignment="1">
      <alignment wrapText="1"/>
    </xf>
    <xf numFmtId="166" fontId="0" fillId="0" borderId="3" xfId="1" applyNumberFormat="1" applyFont="1" applyBorder="1"/>
    <xf numFmtId="0" fontId="0" fillId="0" borderId="1" xfId="0" applyBorder="1" applyAlignment="1">
      <alignment vertical="justify" wrapText="1"/>
    </xf>
    <xf numFmtId="9" fontId="2" fillId="0" borderId="9" xfId="0" applyNumberFormat="1" applyFont="1" applyBorder="1"/>
    <xf numFmtId="2" fontId="0" fillId="0" borderId="0" xfId="0" applyNumberFormat="1" applyBorder="1"/>
    <xf numFmtId="165" fontId="0" fillId="0" borderId="0" xfId="0" applyNumberFormat="1" applyBorder="1"/>
    <xf numFmtId="164" fontId="0" fillId="0" borderId="0" xfId="0" applyNumberFormat="1" applyBorder="1"/>
    <xf numFmtId="173" fontId="3" fillId="0" borderId="40" xfId="0" applyNumberFormat="1" applyFont="1" applyBorder="1"/>
    <xf numFmtId="9" fontId="2" fillId="0" borderId="0" xfId="0" applyNumberFormat="1" applyFont="1"/>
    <xf numFmtId="10" fontId="2" fillId="0" borderId="0" xfId="0" applyNumberFormat="1" applyFont="1"/>
    <xf numFmtId="0" fontId="10" fillId="7" borderId="42" xfId="4"/>
    <xf numFmtId="0" fontId="0" fillId="0" borderId="46" xfId="0" applyBorder="1"/>
    <xf numFmtId="174" fontId="0" fillId="0" borderId="2" xfId="0" applyNumberFormat="1" applyBorder="1"/>
    <xf numFmtId="0" fontId="0" fillId="0" borderId="45" xfId="0" applyBorder="1" applyAlignment="1">
      <alignment vertical="justify"/>
    </xf>
    <xf numFmtId="0" fontId="0" fillId="0" borderId="4" xfId="0" applyBorder="1" applyAlignment="1">
      <alignment vertical="justify"/>
    </xf>
    <xf numFmtId="0" fontId="0" fillId="0" borderId="28" xfId="0" applyBorder="1" applyAlignment="1">
      <alignment vertical="justify"/>
    </xf>
    <xf numFmtId="0" fontId="0" fillId="0" borderId="39" xfId="0" applyBorder="1" applyAlignment="1">
      <alignment vertical="justify"/>
    </xf>
    <xf numFmtId="49" fontId="0" fillId="0" borderId="4" xfId="0" applyNumberFormat="1" applyBorder="1" applyAlignment="1">
      <alignment vertical="justify"/>
    </xf>
    <xf numFmtId="10" fontId="2" fillId="0" borderId="2" xfId="0" applyNumberFormat="1" applyFont="1" applyBorder="1"/>
    <xf numFmtId="9" fontId="3" fillId="0" borderId="7" xfId="0" applyNumberFormat="1" applyFont="1" applyBorder="1"/>
    <xf numFmtId="170" fontId="2" fillId="0" borderId="12" xfId="1" applyNumberFormat="1" applyFont="1" applyBorder="1"/>
    <xf numFmtId="170" fontId="2" fillId="0" borderId="24" xfId="1" applyNumberFormat="1" applyFont="1" applyBorder="1"/>
    <xf numFmtId="171" fontId="0" fillId="0" borderId="28" xfId="0" applyNumberFormat="1" applyBorder="1"/>
    <xf numFmtId="171" fontId="0" fillId="5" borderId="15" xfId="0" applyNumberFormat="1" applyFill="1" applyBorder="1"/>
    <xf numFmtId="171" fontId="0" fillId="0" borderId="35" xfId="0" applyNumberFormat="1" applyBorder="1"/>
    <xf numFmtId="43" fontId="2" fillId="0" borderId="6" xfId="1" applyFont="1" applyFill="1" applyBorder="1"/>
    <xf numFmtId="3" fontId="0" fillId="3" borderId="47" xfId="0" applyNumberFormat="1" applyFill="1" applyBorder="1"/>
    <xf numFmtId="3" fontId="0" fillId="0" borderId="2" xfId="0" applyNumberFormat="1" applyFill="1" applyBorder="1"/>
    <xf numFmtId="171" fontId="0" fillId="0" borderId="2" xfId="0" applyNumberFormat="1" applyFill="1" applyBorder="1"/>
    <xf numFmtId="3" fontId="2" fillId="0" borderId="2" xfId="0" applyNumberFormat="1" applyFont="1" applyFill="1" applyBorder="1"/>
    <xf numFmtId="9" fontId="0" fillId="0" borderId="2" xfId="0" applyNumberFormat="1" applyFill="1" applyBorder="1"/>
    <xf numFmtId="166" fontId="0" fillId="0" borderId="48" xfId="0" applyNumberFormat="1" applyBorder="1"/>
    <xf numFmtId="166" fontId="0" fillId="0" borderId="0" xfId="0" applyNumberFormat="1" applyBorder="1"/>
    <xf numFmtId="3" fontId="0" fillId="0" borderId="0" xfId="0" applyNumberFormat="1" applyBorder="1"/>
    <xf numFmtId="3" fontId="0" fillId="0" borderId="0" xfId="0" applyNumberFormat="1" applyFill="1" applyBorder="1"/>
    <xf numFmtId="10" fontId="0" fillId="0" borderId="0" xfId="0" applyNumberFormat="1" applyBorder="1"/>
    <xf numFmtId="43" fontId="2" fillId="0" borderId="0" xfId="1" applyFont="1" applyBorder="1"/>
    <xf numFmtId="3" fontId="2" fillId="3" borderId="8" xfId="0" applyNumberFormat="1" applyFont="1" applyFill="1" applyBorder="1" applyAlignment="1">
      <alignment horizontal="center"/>
    </xf>
    <xf numFmtId="0" fontId="2" fillId="3" borderId="11" xfId="0" applyFont="1" applyFill="1" applyBorder="1"/>
    <xf numFmtId="170" fontId="2" fillId="3" borderId="12" xfId="1" applyNumberFormat="1" applyFont="1" applyFill="1" applyBorder="1"/>
    <xf numFmtId="0" fontId="2" fillId="3" borderId="19" xfId="0" applyFont="1" applyFill="1" applyBorder="1"/>
    <xf numFmtId="9" fontId="3" fillId="3" borderId="0" xfId="0" applyNumberFormat="1" applyFont="1" applyFill="1" applyBorder="1"/>
    <xf numFmtId="9" fontId="0" fillId="3" borderId="0" xfId="0" applyNumberFormat="1" applyFill="1" applyBorder="1"/>
    <xf numFmtId="0" fontId="2" fillId="3" borderId="0" xfId="0" applyFont="1" applyFill="1"/>
    <xf numFmtId="0" fontId="2" fillId="3" borderId="7" xfId="0" applyFont="1" applyFill="1" applyBorder="1"/>
    <xf numFmtId="10" fontId="0" fillId="0" borderId="27" xfId="0" applyNumberFormat="1" applyBorder="1"/>
    <xf numFmtId="10" fontId="0" fillId="0" borderId="49" xfId="0" applyNumberFormat="1" applyBorder="1"/>
    <xf numFmtId="0" fontId="2" fillId="0" borderId="0" xfId="0" applyFont="1" applyBorder="1"/>
    <xf numFmtId="0" fontId="13" fillId="0" borderId="18" xfId="0" applyFont="1" applyBorder="1"/>
    <xf numFmtId="0" fontId="14" fillId="0" borderId="1" xfId="0" applyFont="1" applyBorder="1"/>
    <xf numFmtId="0" fontId="13" fillId="0" borderId="19" xfId="0" applyFont="1" applyBorder="1"/>
    <xf numFmtId="0" fontId="2" fillId="0" borderId="50" xfId="0" applyFont="1" applyBorder="1"/>
    <xf numFmtId="171" fontId="0" fillId="5" borderId="40" xfId="0" applyNumberFormat="1" applyFill="1" applyBorder="1"/>
    <xf numFmtId="0" fontId="0" fillId="0" borderId="17" xfId="0" applyBorder="1"/>
    <xf numFmtId="4" fontId="5" fillId="0" borderId="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172" fontId="6" fillId="0" borderId="3" xfId="0" applyNumberFormat="1" applyFont="1" applyBorder="1"/>
    <xf numFmtId="0" fontId="5" fillId="0" borderId="11" xfId="0" applyFont="1" applyBorder="1" applyAlignment="1">
      <alignment horizontal="justify" vertical="center" wrapText="1"/>
    </xf>
    <xf numFmtId="4" fontId="6" fillId="0" borderId="51" xfId="0" applyNumberFormat="1" applyFont="1" applyBorder="1"/>
    <xf numFmtId="4" fontId="6" fillId="0" borderId="52" xfId="0" applyNumberFormat="1" applyFont="1" applyBorder="1"/>
    <xf numFmtId="0" fontId="5" fillId="0" borderId="9" xfId="0" applyFont="1" applyBorder="1" applyAlignment="1">
      <alignment horizontal="justify" vertical="center" wrapText="1"/>
    </xf>
    <xf numFmtId="4" fontId="6" fillId="0" borderId="32" xfId="0" applyNumberFormat="1" applyFont="1" applyBorder="1"/>
    <xf numFmtId="4" fontId="6" fillId="0" borderId="36" xfId="0" applyNumberFormat="1" applyFont="1" applyBorder="1"/>
    <xf numFmtId="0" fontId="6" fillId="0" borderId="2" xfId="0" applyFont="1" applyBorder="1" applyAlignment="1">
      <alignment horizontal="right"/>
    </xf>
    <xf numFmtId="4" fontId="6" fillId="0" borderId="46" xfId="1" applyNumberFormat="1" applyFont="1" applyBorder="1"/>
    <xf numFmtId="0" fontId="5" fillId="0" borderId="54" xfId="0" applyFont="1" applyBorder="1" applyAlignment="1">
      <alignment horizontal="justify" vertical="center" wrapText="1"/>
    </xf>
    <xf numFmtId="0" fontId="5" fillId="0" borderId="53" xfId="0" applyFont="1" applyBorder="1" applyAlignment="1">
      <alignment horizontal="justify" vertical="center" wrapText="1"/>
    </xf>
    <xf numFmtId="0" fontId="15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5" xfId="0" applyBorder="1"/>
    <xf numFmtId="171" fontId="0" fillId="5" borderId="2" xfId="0" applyNumberFormat="1" applyFill="1" applyBorder="1" applyAlignment="1">
      <alignment horizontal="center"/>
    </xf>
    <xf numFmtId="0" fontId="16" fillId="0" borderId="28" xfId="0" applyFont="1" applyBorder="1" applyAlignment="1">
      <alignment vertical="justify" wrapText="1"/>
    </xf>
    <xf numFmtId="0" fontId="16" fillId="0" borderId="21" xfId="0" applyFont="1" applyFill="1" applyBorder="1" applyAlignment="1">
      <alignment vertical="justify" wrapText="1"/>
    </xf>
    <xf numFmtId="168" fontId="16" fillId="0" borderId="15" xfId="0" applyNumberFormat="1" applyFont="1" applyBorder="1"/>
    <xf numFmtId="49" fontId="12" fillId="0" borderId="2" xfId="0" applyNumberFormat="1" applyFont="1" applyBorder="1"/>
    <xf numFmtId="43" fontId="12" fillId="0" borderId="2" xfId="1" applyFont="1" applyBorder="1"/>
    <xf numFmtId="170" fontId="12" fillId="0" borderId="2" xfId="1" applyNumberFormat="1" applyFont="1" applyBorder="1"/>
    <xf numFmtId="0" fontId="12" fillId="0" borderId="2" xfId="0" applyFont="1" applyBorder="1"/>
    <xf numFmtId="3" fontId="0" fillId="3" borderId="2" xfId="0" applyNumberFormat="1" applyFill="1" applyBorder="1"/>
    <xf numFmtId="171" fontId="0" fillId="0" borderId="2" xfId="0" applyNumberFormat="1" applyBorder="1"/>
    <xf numFmtId="171" fontId="0" fillId="0" borderId="27" xfId="0" applyNumberFormat="1" applyBorder="1"/>
    <xf numFmtId="171" fontId="0" fillId="0" borderId="4" xfId="0" applyNumberFormat="1" applyBorder="1"/>
    <xf numFmtId="0" fontId="0" fillId="0" borderId="1" xfId="0" applyBorder="1" applyAlignment="1">
      <alignment horizontal="left"/>
    </xf>
    <xf numFmtId="171" fontId="0" fillId="0" borderId="10" xfId="0" applyNumberFormat="1" applyBorder="1"/>
    <xf numFmtId="171" fontId="2" fillId="0" borderId="59" xfId="0" applyNumberFormat="1" applyFont="1" applyBorder="1"/>
    <xf numFmtId="0" fontId="2" fillId="2" borderId="3" xfId="0" applyFont="1" applyFill="1" applyBorder="1"/>
    <xf numFmtId="0" fontId="2" fillId="0" borderId="27" xfId="0" applyFont="1" applyBorder="1"/>
    <xf numFmtId="171" fontId="2" fillId="0" borderId="36" xfId="0" applyNumberFormat="1" applyFont="1" applyBorder="1"/>
    <xf numFmtId="171" fontId="0" fillId="0" borderId="59" xfId="0" applyNumberFormat="1" applyBorder="1"/>
    <xf numFmtId="171" fontId="0" fillId="0" borderId="0" xfId="0" applyNumberFormat="1" applyFill="1" applyBorder="1"/>
    <xf numFmtId="0" fontId="0" fillId="0" borderId="59" xfId="0" applyBorder="1"/>
    <xf numFmtId="166" fontId="0" fillId="0" borderId="10" xfId="0" applyNumberFormat="1" applyBorder="1"/>
    <xf numFmtId="0" fontId="2" fillId="10" borderId="0" xfId="0" applyFont="1" applyFill="1" applyBorder="1"/>
    <xf numFmtId="166" fontId="2" fillId="0" borderId="59" xfId="0" applyNumberFormat="1" applyFont="1" applyBorder="1"/>
    <xf numFmtId="171" fontId="0" fillId="0" borderId="1" xfId="0" applyNumberFormat="1" applyBorder="1"/>
    <xf numFmtId="0" fontId="0" fillId="0" borderId="9" xfId="0" applyBorder="1" applyAlignment="1">
      <alignment horizontal="left"/>
    </xf>
    <xf numFmtId="166" fontId="1" fillId="0" borderId="2" xfId="1" applyNumberFormat="1" applyFont="1" applyBorder="1"/>
    <xf numFmtId="168" fontId="1" fillId="0" borderId="2" xfId="1" applyNumberFormat="1" applyFont="1" applyBorder="1"/>
    <xf numFmtId="168" fontId="1" fillId="0" borderId="4" xfId="1" applyNumberFormat="1" applyFont="1" applyBorder="1"/>
    <xf numFmtId="169" fontId="1" fillId="0" borderId="34" xfId="1" applyNumberFormat="1" applyFont="1" applyBorder="1"/>
    <xf numFmtId="166" fontId="0" fillId="3" borderId="8" xfId="0" applyNumberFormat="1" applyFill="1" applyBorder="1"/>
    <xf numFmtId="166" fontId="0" fillId="3" borderId="57" xfId="0" applyNumberFormat="1" applyFill="1" applyBorder="1"/>
    <xf numFmtId="10" fontId="0" fillId="0" borderId="0" xfId="0" applyNumberFormat="1" applyFont="1"/>
    <xf numFmtId="9" fontId="2" fillId="3" borderId="0" xfId="1" applyNumberFormat="1" applyFont="1" applyFill="1" applyBorder="1"/>
    <xf numFmtId="9" fontId="0" fillId="0" borderId="0" xfId="0" applyNumberFormat="1"/>
    <xf numFmtId="8" fontId="0" fillId="0" borderId="0" xfId="0" applyNumberFormat="1"/>
    <xf numFmtId="0" fontId="0" fillId="0" borderId="2" xfId="0" applyFont="1" applyBorder="1"/>
    <xf numFmtId="49" fontId="12" fillId="0" borderId="0" xfId="0" applyNumberFormat="1" applyFont="1" applyBorder="1"/>
    <xf numFmtId="43" fontId="0" fillId="0" borderId="0" xfId="1" applyFont="1" applyBorder="1"/>
    <xf numFmtId="1" fontId="12" fillId="0" borderId="0" xfId="1" applyNumberFormat="1" applyFont="1" applyBorder="1"/>
    <xf numFmtId="170" fontId="12" fillId="0" borderId="0" xfId="1" applyNumberFormat="1" applyFont="1" applyBorder="1"/>
    <xf numFmtId="166" fontId="12" fillId="0" borderId="0" xfId="1" applyNumberFormat="1" applyFont="1" applyBorder="1"/>
    <xf numFmtId="167" fontId="12" fillId="0" borderId="0" xfId="1" applyNumberFormat="1" applyFont="1" applyBorder="1"/>
    <xf numFmtId="49" fontId="12" fillId="0" borderId="0" xfId="1" applyNumberFormat="1" applyFont="1" applyBorder="1"/>
    <xf numFmtId="1" fontId="12" fillId="0" borderId="0" xfId="0" applyNumberFormat="1" applyFont="1" applyBorder="1"/>
    <xf numFmtId="0" fontId="0" fillId="0" borderId="11" xfId="0" applyBorder="1" applyAlignment="1">
      <alignment wrapText="1"/>
    </xf>
    <xf numFmtId="43" fontId="0" fillId="0" borderId="12" xfId="1" applyFont="1" applyBorder="1"/>
    <xf numFmtId="166" fontId="0" fillId="0" borderId="12" xfId="0" applyNumberFormat="1" applyBorder="1"/>
    <xf numFmtId="166" fontId="0" fillId="0" borderId="24" xfId="0" applyNumberFormat="1" applyBorder="1"/>
    <xf numFmtId="0" fontId="3" fillId="0" borderId="19" xfId="0" applyFont="1" applyBorder="1"/>
    <xf numFmtId="171" fontId="0" fillId="0" borderId="7" xfId="1" applyNumberFormat="1" applyFont="1" applyBorder="1"/>
    <xf numFmtId="0" fontId="0" fillId="0" borderId="60" xfId="0" applyBorder="1"/>
    <xf numFmtId="1" fontId="1" fillId="0" borderId="2" xfId="1" applyNumberFormat="1" applyFont="1" applyBorder="1"/>
    <xf numFmtId="1" fontId="1" fillId="0" borderId="2" xfId="0" applyNumberFormat="1" applyFont="1" applyBorder="1"/>
    <xf numFmtId="0" fontId="3" fillId="0" borderId="2" xfId="0" applyFont="1" applyBorder="1" applyAlignment="1">
      <alignment vertical="justify" wrapText="1"/>
    </xf>
    <xf numFmtId="0" fontId="2" fillId="9" borderId="38" xfId="6" applyFont="1" applyBorder="1" applyAlignment="1">
      <alignment horizontal="center" vertical="justify" wrapText="1"/>
    </xf>
    <xf numFmtId="0" fontId="2" fillId="9" borderId="35" xfId="6" applyFont="1" applyBorder="1" applyAlignment="1">
      <alignment horizontal="center" vertical="justify" wrapText="1"/>
    </xf>
    <xf numFmtId="0" fontId="2" fillId="9" borderId="36" xfId="6" applyFont="1" applyBorder="1" applyAlignment="1">
      <alignment horizontal="center" vertical="justify" wrapText="1"/>
    </xf>
    <xf numFmtId="0" fontId="11" fillId="6" borderId="41" xfId="3" applyFont="1" applyAlignment="1">
      <alignment horizontal="center" vertical="justify" wrapText="1"/>
    </xf>
    <xf numFmtId="0" fontId="2" fillId="9" borderId="44" xfId="6" applyFont="1" applyBorder="1" applyAlignment="1">
      <alignment horizontal="center" vertical="justify" wrapText="1"/>
    </xf>
    <xf numFmtId="0" fontId="3" fillId="8" borderId="43" xfId="5" applyFont="1" applyAlignment="1">
      <alignment horizontal="center" vertical="justify" wrapText="1"/>
    </xf>
    <xf numFmtId="0" fontId="2" fillId="0" borderId="37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55" xfId="0" applyFont="1" applyBorder="1" applyAlignment="1">
      <alignment horizontal="center" wrapText="1"/>
    </xf>
    <xf numFmtId="0" fontId="2" fillId="0" borderId="56" xfId="0" applyFont="1" applyBorder="1" applyAlignment="1">
      <alignment horizontal="center" wrapText="1"/>
    </xf>
    <xf numFmtId="0" fontId="0" fillId="0" borderId="2" xfId="0" applyFont="1" applyFill="1" applyBorder="1" applyAlignment="1">
      <alignment horizontal="center" wrapText="1"/>
    </xf>
    <xf numFmtId="166" fontId="0" fillId="0" borderId="2" xfId="0" applyNumberFormat="1" applyBorder="1"/>
    <xf numFmtId="166" fontId="0" fillId="0" borderId="2" xfId="0" applyNumberFormat="1" applyFont="1" applyBorder="1"/>
    <xf numFmtId="166" fontId="0" fillId="0" borderId="1" xfId="0" applyNumberFormat="1" applyBorder="1"/>
    <xf numFmtId="166" fontId="0" fillId="3" borderId="7" xfId="0" applyNumberFormat="1" applyFill="1" applyBorder="1"/>
    <xf numFmtId="166" fontId="0" fillId="0" borderId="58" xfId="0" applyNumberFormat="1" applyBorder="1"/>
  </cellXfs>
  <cellStyles count="7">
    <cellStyle name="20% - Énfasis1" xfId="6" builtinId="30"/>
    <cellStyle name="Entrada" xfId="3" builtinId="20"/>
    <cellStyle name="Millares" xfId="1" builtinId="3"/>
    <cellStyle name="Normal" xfId="0" builtinId="0"/>
    <cellStyle name="Notas" xfId="5" builtinId="10"/>
    <cellStyle name="Porcentaje" xfId="2" builtinId="5"/>
    <cellStyle name="Salida" xfId="4" builtinId="21"/>
  </cellStyles>
  <dxfs count="24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71" formatCode="&quot;$&quot;#,##0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66" formatCode="&quot;$&quot;\ #,##0"/>
    </dxf>
    <dxf>
      <numFmt numFmtId="166" formatCode="&quot;$&quot;\ #,##0"/>
    </dxf>
    <dxf>
      <numFmt numFmtId="166" formatCode="&quot;$&quot;\ #,##0"/>
    </dxf>
    <dxf>
      <numFmt numFmtId="171" formatCode="&quot;$&quot;#,##0"/>
    </dxf>
    <dxf>
      <numFmt numFmtId="171" formatCode="&quot;$&quot;#,##0"/>
    </dxf>
    <dxf>
      <numFmt numFmtId="171" formatCode="&quot;$&quot;#,##0"/>
    </dxf>
    <dxf>
      <numFmt numFmtId="171" formatCode="&quot;$&quot;#,##0"/>
    </dxf>
    <dxf>
      <numFmt numFmtId="171" formatCode="&quot;$&quot;#,##0"/>
    </dxf>
    <dxf>
      <numFmt numFmtId="171" formatCode="&quot;$&quot;#,##0"/>
    </dxf>
  </dxfs>
  <tableStyles count="0" defaultTableStyle="TableStyleMedium2" defaultPivotStyle="PivotStyleLight16"/>
  <colors>
    <mruColors>
      <color rgb="FFCC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[Caso1Ar.xlsx]Tabla CostosProyDepto!Tabla dinámica3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'Tabla CostosProyDepto'!$B$3</c:f>
              <c:strCache>
                <c:ptCount val="1"/>
                <c:pt idx="0">
                  <c:v> COSTOS 2013</c:v>
                </c:pt>
              </c:strCache>
            </c:strRef>
          </c:tx>
          <c:invertIfNegative val="0"/>
          <c:cat>
            <c:multiLvlStrRef>
              <c:f>'Tabla CostosProyDepto'!$A$4:$A$40</c:f>
              <c:multiLvlStrCache>
                <c:ptCount val="32"/>
                <c:lvl>
                  <c:pt idx="0">
                    <c:v>CALIDAD</c:v>
                  </c:pt>
                  <c:pt idx="1">
                    <c:v>COMERCIO</c:v>
                  </c:pt>
                  <c:pt idx="2">
                    <c:v>CONTRATOS</c:v>
                  </c:pt>
                  <c:pt idx="3">
                    <c:v>CONTABILIDAD</c:v>
                  </c:pt>
                  <c:pt idx="4">
                    <c:v>PROYECTOS</c:v>
                  </c:pt>
                  <c:pt idx="5">
                    <c:v>RRHH</c:v>
                  </c:pt>
                  <c:pt idx="6">
                    <c:v>SEGURIDAD</c:v>
                  </c:pt>
                  <c:pt idx="7">
                    <c:v>SISTEMAS</c:v>
                  </c:pt>
                  <c:pt idx="8">
                    <c:v>CALIDAD</c:v>
                  </c:pt>
                  <c:pt idx="9">
                    <c:v>COMERCIO</c:v>
                  </c:pt>
                  <c:pt idx="10">
                    <c:v>CONTRATOS</c:v>
                  </c:pt>
                  <c:pt idx="11">
                    <c:v>CONTABILIDAD</c:v>
                  </c:pt>
                  <c:pt idx="12">
                    <c:v>PROYECTOS</c:v>
                  </c:pt>
                  <c:pt idx="13">
                    <c:v>RRHH</c:v>
                  </c:pt>
                  <c:pt idx="14">
                    <c:v>SEGURIDAD</c:v>
                  </c:pt>
                  <c:pt idx="15">
                    <c:v>SISTEMAS</c:v>
                  </c:pt>
                  <c:pt idx="16">
                    <c:v>CALIDAD</c:v>
                  </c:pt>
                  <c:pt idx="17">
                    <c:v>COMERCIO</c:v>
                  </c:pt>
                  <c:pt idx="18">
                    <c:v>CONTRATOS</c:v>
                  </c:pt>
                  <c:pt idx="19">
                    <c:v>CONTABILIDAD</c:v>
                  </c:pt>
                  <c:pt idx="20">
                    <c:v>PROYECTOS</c:v>
                  </c:pt>
                  <c:pt idx="21">
                    <c:v>RRHH</c:v>
                  </c:pt>
                  <c:pt idx="22">
                    <c:v>SEGURIDAD</c:v>
                  </c:pt>
                  <c:pt idx="23">
                    <c:v>SISTEMAS</c:v>
                  </c:pt>
                  <c:pt idx="24">
                    <c:v>CALIDAD</c:v>
                  </c:pt>
                  <c:pt idx="25">
                    <c:v>COMERCIO</c:v>
                  </c:pt>
                  <c:pt idx="26">
                    <c:v>CONTRATOS</c:v>
                  </c:pt>
                  <c:pt idx="27">
                    <c:v>CONTABILIDAD</c:v>
                  </c:pt>
                  <c:pt idx="28">
                    <c:v>PROYECTOS</c:v>
                  </c:pt>
                  <c:pt idx="29">
                    <c:v>RRHH</c:v>
                  </c:pt>
                  <c:pt idx="30">
                    <c:v>SEGURIDAD</c:v>
                  </c:pt>
                  <c:pt idx="31">
                    <c:v>SISTEMAS</c:v>
                  </c:pt>
                </c:lvl>
                <c:lvl>
                  <c:pt idx="0">
                    <c:v>PROYECTO TIC 1</c:v>
                  </c:pt>
                  <c:pt idx="8">
                    <c:v>PROYECTO 2</c:v>
                  </c:pt>
                  <c:pt idx="16">
                    <c:v>PROYECTO 3</c:v>
                  </c:pt>
                  <c:pt idx="24">
                    <c:v>PROYECTO 4</c:v>
                  </c:pt>
                </c:lvl>
              </c:multiLvlStrCache>
            </c:multiLvlStrRef>
          </c:cat>
          <c:val>
            <c:numRef>
              <c:f>'Tabla CostosProyDepto'!$B$4:$B$40</c:f>
              <c:numCache>
                <c:formatCode>General</c:formatCode>
                <c:ptCount val="32"/>
                <c:pt idx="0">
                  <c:v>40185000</c:v>
                </c:pt>
                <c:pt idx="1">
                  <c:v>37412000</c:v>
                </c:pt>
                <c:pt idx="2">
                  <c:v>52183500</c:v>
                </c:pt>
                <c:pt idx="3">
                  <c:v>69480000</c:v>
                </c:pt>
                <c:pt idx="4">
                  <c:v>29330000</c:v>
                </c:pt>
                <c:pt idx="5">
                  <c:v>24148600</c:v>
                </c:pt>
                <c:pt idx="6">
                  <c:v>12881000.000000002</c:v>
                </c:pt>
                <c:pt idx="7">
                  <c:v>0</c:v>
                </c:pt>
                <c:pt idx="8">
                  <c:v>0</c:v>
                </c:pt>
                <c:pt idx="9">
                  <c:v>27570200</c:v>
                </c:pt>
                <c:pt idx="10">
                  <c:v>47856150</c:v>
                </c:pt>
                <c:pt idx="11">
                  <c:v>62620200</c:v>
                </c:pt>
                <c:pt idx="12">
                  <c:v>16904020</c:v>
                </c:pt>
                <c:pt idx="13">
                  <c:v>40606778</c:v>
                </c:pt>
                <c:pt idx="14">
                  <c:v>41153200</c:v>
                </c:pt>
                <c:pt idx="15">
                  <c:v>0</c:v>
                </c:pt>
                <c:pt idx="16">
                  <c:v>125064000</c:v>
                </c:pt>
                <c:pt idx="17">
                  <c:v>22699684</c:v>
                </c:pt>
                <c:pt idx="18">
                  <c:v>31478250</c:v>
                </c:pt>
                <c:pt idx="19">
                  <c:v>35987824.799999997</c:v>
                </c:pt>
                <c:pt idx="20">
                  <c:v>28424744.599999998</c:v>
                </c:pt>
                <c:pt idx="21">
                  <c:v>12108140.000000002</c:v>
                </c:pt>
                <c:pt idx="22">
                  <c:v>32263000.000000004</c:v>
                </c:pt>
                <c:pt idx="23">
                  <c:v>0</c:v>
                </c:pt>
                <c:pt idx="24">
                  <c:v>68706668.376000002</c:v>
                </c:pt>
                <c:pt idx="25">
                  <c:v>38170371.32</c:v>
                </c:pt>
                <c:pt idx="26">
                  <c:v>0</c:v>
                </c:pt>
                <c:pt idx="27">
                  <c:v>25182600</c:v>
                </c:pt>
                <c:pt idx="28">
                  <c:v>9016700</c:v>
                </c:pt>
                <c:pt idx="29">
                  <c:v>35167280</c:v>
                </c:pt>
                <c:pt idx="30">
                  <c:v>21699007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'Tabla CostosProyDepto'!$C$3</c:f>
              <c:strCache>
                <c:ptCount val="1"/>
                <c:pt idx="0">
                  <c:v>COSTOS 2014</c:v>
                </c:pt>
              </c:strCache>
            </c:strRef>
          </c:tx>
          <c:invertIfNegative val="0"/>
          <c:cat>
            <c:multiLvlStrRef>
              <c:f>'Tabla CostosProyDepto'!$A$4:$A$40</c:f>
              <c:multiLvlStrCache>
                <c:ptCount val="32"/>
                <c:lvl>
                  <c:pt idx="0">
                    <c:v>CALIDAD</c:v>
                  </c:pt>
                  <c:pt idx="1">
                    <c:v>COMERCIO</c:v>
                  </c:pt>
                  <c:pt idx="2">
                    <c:v>CONTRATOS</c:v>
                  </c:pt>
                  <c:pt idx="3">
                    <c:v>CONTABILIDAD</c:v>
                  </c:pt>
                  <c:pt idx="4">
                    <c:v>PROYECTOS</c:v>
                  </c:pt>
                  <c:pt idx="5">
                    <c:v>RRHH</c:v>
                  </c:pt>
                  <c:pt idx="6">
                    <c:v>SEGURIDAD</c:v>
                  </c:pt>
                  <c:pt idx="7">
                    <c:v>SISTEMAS</c:v>
                  </c:pt>
                  <c:pt idx="8">
                    <c:v>CALIDAD</c:v>
                  </c:pt>
                  <c:pt idx="9">
                    <c:v>COMERCIO</c:v>
                  </c:pt>
                  <c:pt idx="10">
                    <c:v>CONTRATOS</c:v>
                  </c:pt>
                  <c:pt idx="11">
                    <c:v>CONTABILIDAD</c:v>
                  </c:pt>
                  <c:pt idx="12">
                    <c:v>PROYECTOS</c:v>
                  </c:pt>
                  <c:pt idx="13">
                    <c:v>RRHH</c:v>
                  </c:pt>
                  <c:pt idx="14">
                    <c:v>SEGURIDAD</c:v>
                  </c:pt>
                  <c:pt idx="15">
                    <c:v>SISTEMAS</c:v>
                  </c:pt>
                  <c:pt idx="16">
                    <c:v>CALIDAD</c:v>
                  </c:pt>
                  <c:pt idx="17">
                    <c:v>COMERCIO</c:v>
                  </c:pt>
                  <c:pt idx="18">
                    <c:v>CONTRATOS</c:v>
                  </c:pt>
                  <c:pt idx="19">
                    <c:v>CONTABILIDAD</c:v>
                  </c:pt>
                  <c:pt idx="20">
                    <c:v>PROYECTOS</c:v>
                  </c:pt>
                  <c:pt idx="21">
                    <c:v>RRHH</c:v>
                  </c:pt>
                  <c:pt idx="22">
                    <c:v>SEGURIDAD</c:v>
                  </c:pt>
                  <c:pt idx="23">
                    <c:v>SISTEMAS</c:v>
                  </c:pt>
                  <c:pt idx="24">
                    <c:v>CALIDAD</c:v>
                  </c:pt>
                  <c:pt idx="25">
                    <c:v>COMERCIO</c:v>
                  </c:pt>
                  <c:pt idx="26">
                    <c:v>CONTRATOS</c:v>
                  </c:pt>
                  <c:pt idx="27">
                    <c:v>CONTABILIDAD</c:v>
                  </c:pt>
                  <c:pt idx="28">
                    <c:v>PROYECTOS</c:v>
                  </c:pt>
                  <c:pt idx="29">
                    <c:v>RRHH</c:v>
                  </c:pt>
                  <c:pt idx="30">
                    <c:v>SEGURIDAD</c:v>
                  </c:pt>
                  <c:pt idx="31">
                    <c:v>SISTEMAS</c:v>
                  </c:pt>
                </c:lvl>
                <c:lvl>
                  <c:pt idx="0">
                    <c:v>PROYECTO TIC 1</c:v>
                  </c:pt>
                  <c:pt idx="8">
                    <c:v>PROYECTO 2</c:v>
                  </c:pt>
                  <c:pt idx="16">
                    <c:v>PROYECTO 3</c:v>
                  </c:pt>
                  <c:pt idx="24">
                    <c:v>PROYECTO 4</c:v>
                  </c:pt>
                </c:lvl>
              </c:multiLvlStrCache>
            </c:multiLvlStrRef>
          </c:cat>
          <c:val>
            <c:numRef>
              <c:f>'Tabla CostosProyDepto'!$C$4:$C$40</c:f>
              <c:numCache>
                <c:formatCode>General</c:formatCode>
                <c:ptCount val="32"/>
                <c:pt idx="0">
                  <c:v>22325000</c:v>
                </c:pt>
                <c:pt idx="1">
                  <c:v>39800000</c:v>
                </c:pt>
                <c:pt idx="2">
                  <c:v>34789000</c:v>
                </c:pt>
                <c:pt idx="3">
                  <c:v>57900000</c:v>
                </c:pt>
                <c:pt idx="4">
                  <c:v>41900000</c:v>
                </c:pt>
                <c:pt idx="5">
                  <c:v>25690000</c:v>
                </c:pt>
                <c:pt idx="6">
                  <c:v>11710000</c:v>
                </c:pt>
                <c:pt idx="7">
                  <c:v>13909000</c:v>
                </c:pt>
                <c:pt idx="8">
                  <c:v>0</c:v>
                </c:pt>
                <c:pt idx="9">
                  <c:v>29330000</c:v>
                </c:pt>
                <c:pt idx="10">
                  <c:v>31904100</c:v>
                </c:pt>
                <c:pt idx="11">
                  <c:v>52183500</c:v>
                </c:pt>
                <c:pt idx="12">
                  <c:v>24148600</c:v>
                </c:pt>
                <c:pt idx="13">
                  <c:v>43198700</c:v>
                </c:pt>
                <c:pt idx="14">
                  <c:v>37412000</c:v>
                </c:pt>
                <c:pt idx="15">
                  <c:v>69480000</c:v>
                </c:pt>
                <c:pt idx="16">
                  <c:v>69480000</c:v>
                </c:pt>
                <c:pt idx="17">
                  <c:v>24148600</c:v>
                </c:pt>
                <c:pt idx="18">
                  <c:v>20985500</c:v>
                </c:pt>
                <c:pt idx="19">
                  <c:v>29989854</c:v>
                </c:pt>
                <c:pt idx="20">
                  <c:v>40606778</c:v>
                </c:pt>
                <c:pt idx="21">
                  <c:v>12881000.000000002</c:v>
                </c:pt>
                <c:pt idx="22">
                  <c:v>29330000</c:v>
                </c:pt>
                <c:pt idx="23">
                  <c:v>52183500</c:v>
                </c:pt>
                <c:pt idx="24">
                  <c:v>38170371.32</c:v>
                </c:pt>
                <c:pt idx="25">
                  <c:v>40606778</c:v>
                </c:pt>
                <c:pt idx="26">
                  <c:v>0</c:v>
                </c:pt>
                <c:pt idx="27">
                  <c:v>20985500</c:v>
                </c:pt>
                <c:pt idx="28">
                  <c:v>12881000.000000002</c:v>
                </c:pt>
                <c:pt idx="29">
                  <c:v>37412000</c:v>
                </c:pt>
                <c:pt idx="30">
                  <c:v>19726370</c:v>
                </c:pt>
                <c:pt idx="31">
                  <c:v>12108140.000000002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2351232"/>
        <c:axId val="102352768"/>
        <c:axId val="0"/>
      </c:bar3DChart>
      <c:catAx>
        <c:axId val="102351232"/>
        <c:scaling>
          <c:orientation val="minMax"/>
        </c:scaling>
        <c:delete val="0"/>
        <c:axPos val="b"/>
        <c:majorTickMark val="out"/>
        <c:minorTickMark val="none"/>
        <c:tickLblPos val="nextTo"/>
        <c:crossAx val="102352768"/>
        <c:crosses val="autoZero"/>
        <c:auto val="1"/>
        <c:lblAlgn val="ctr"/>
        <c:lblOffset val="100"/>
        <c:noMultiLvlLbl val="0"/>
      </c:catAx>
      <c:valAx>
        <c:axId val="102352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23512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4</xdr:row>
      <xdr:rowOff>176212</xdr:rowOff>
    </xdr:from>
    <xdr:to>
      <xdr:col>11</xdr:col>
      <xdr:colOff>28575</xdr:colOff>
      <xdr:row>19</xdr:row>
      <xdr:rowOff>61912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studiante" refreshedDate="41209.651935300928" createdVersion="4" refreshedVersion="4" minRefreshableVersion="3" recordCount="32">
  <cacheSource type="worksheet">
    <worksheetSource ref="A2:D34" sheet="ConsolidaProyecto"/>
  </cacheSource>
  <cacheFields count="4">
    <cacheField name="DEPARTAMENTOS" numFmtId="0">
      <sharedItems count="8">
        <s v="RRHH"/>
        <s v="COMPRAS"/>
        <s v="PROYECTOS"/>
        <s v="CONTABILIDAD"/>
        <s v="COMERCIO"/>
        <s v="SISTEMAS"/>
        <s v="SEGURIDAD"/>
        <s v="CALIDAD"/>
      </sharedItems>
    </cacheField>
    <cacheField name="PROYECTOS" numFmtId="0">
      <sharedItems count="4">
        <s v="PROYECTO 1"/>
        <s v="PROYECTO 2"/>
        <s v="PROYECTO 3"/>
        <s v="PROYECTO 4"/>
      </sharedItems>
    </cacheField>
    <cacheField name="COSTO 2012" numFmtId="165">
      <sharedItems containsSemiMixedTypes="0" containsString="0" containsNumber="1" minValue="0" maxValue="69480000"/>
    </cacheField>
    <cacheField name="COSTO 2013" numFmtId="165">
      <sharedItems containsSemiMixedTypes="0" containsString="0" containsNumber="1" minValue="0" maxValue="125064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Usuario" refreshedDate="41572.522491550924" createdVersion="4" refreshedVersion="4" minRefreshableVersion="3" recordCount="32">
  <cacheSource type="worksheet">
    <worksheetSource ref="A2:D34" sheet="ConsolidaProyecto"/>
  </cacheSource>
  <cacheFields count="4">
    <cacheField name="ORIGEN RECURSOS" numFmtId="0">
      <sharedItems count="8">
        <s v="RRHH"/>
        <s v="CONTRATOS"/>
        <s v="PROYECTOS"/>
        <s v="CONTABILIDAD"/>
        <s v="COMERCIO"/>
        <s v="SISTEMAS"/>
        <s v="SEGURIDAD"/>
        <s v="CALIDAD"/>
      </sharedItems>
    </cacheField>
    <cacheField name="PROYECTOS" numFmtId="0">
      <sharedItems count="8">
        <s v="Proyecto TIC 1"/>
        <s v="Proyecto TIC 2"/>
        <s v="Proyecto TIC 3"/>
        <s v="Proyecto TIC 4"/>
        <s v="PROYECTO 3" u="1"/>
        <s v="PROYECTO 4" u="1"/>
        <s v="PROYECTO 1" u="1"/>
        <s v="PROYECTO 2" u="1"/>
      </sharedItems>
    </cacheField>
    <cacheField name="COSTO 2013" numFmtId="165">
      <sharedItems containsSemiMixedTypes="0" containsString="0" containsNumber="1" minValue="0" maxValue="69480000"/>
    </cacheField>
    <cacheField name="COSTO 2014" numFmtId="165">
      <sharedItems containsSemiMixedTypes="0" containsString="0" containsNumber="1" minValue="0" maxValue="125064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">
  <r>
    <x v="0"/>
    <x v="0"/>
    <n v="25690000"/>
    <n v="24148600"/>
  </r>
  <r>
    <x v="1"/>
    <x v="0"/>
    <n v="34789000"/>
    <n v="52183500"/>
  </r>
  <r>
    <x v="2"/>
    <x v="0"/>
    <n v="41900000"/>
    <n v="29330000"/>
  </r>
  <r>
    <x v="3"/>
    <x v="0"/>
    <n v="57900000"/>
    <n v="69480000"/>
  </r>
  <r>
    <x v="4"/>
    <x v="0"/>
    <n v="39800000"/>
    <n v="37412000"/>
  </r>
  <r>
    <x v="5"/>
    <x v="0"/>
    <n v="13909000"/>
    <n v="0"/>
  </r>
  <r>
    <x v="6"/>
    <x v="0"/>
    <n v="11710000"/>
    <n v="12881000.000000002"/>
  </r>
  <r>
    <x v="7"/>
    <x v="0"/>
    <n v="22325000"/>
    <n v="40185000"/>
  </r>
  <r>
    <x v="0"/>
    <x v="1"/>
    <n v="43198700"/>
    <n v="40606778"/>
  </r>
  <r>
    <x v="1"/>
    <x v="1"/>
    <n v="31904100"/>
    <n v="47856150"/>
  </r>
  <r>
    <x v="2"/>
    <x v="1"/>
    <n v="24148600"/>
    <n v="16904020"/>
  </r>
  <r>
    <x v="3"/>
    <x v="1"/>
    <n v="52183500"/>
    <n v="62620200"/>
  </r>
  <r>
    <x v="4"/>
    <x v="1"/>
    <n v="29330000"/>
    <n v="27570200"/>
  </r>
  <r>
    <x v="5"/>
    <x v="1"/>
    <n v="69480000"/>
    <n v="0"/>
  </r>
  <r>
    <x v="6"/>
    <x v="1"/>
    <n v="37412000"/>
    <n v="41153200"/>
  </r>
  <r>
    <x v="7"/>
    <x v="1"/>
    <n v="0"/>
    <n v="0"/>
  </r>
  <r>
    <x v="0"/>
    <x v="2"/>
    <n v="12881000.000000002"/>
    <n v="12108140.000000002"/>
  </r>
  <r>
    <x v="1"/>
    <x v="2"/>
    <n v="20985500"/>
    <n v="31478250"/>
  </r>
  <r>
    <x v="2"/>
    <x v="2"/>
    <n v="40606778"/>
    <n v="28424744.599999998"/>
  </r>
  <r>
    <x v="3"/>
    <x v="2"/>
    <n v="29989854"/>
    <n v="35987824.799999997"/>
  </r>
  <r>
    <x v="4"/>
    <x v="2"/>
    <n v="24148600"/>
    <n v="22699684"/>
  </r>
  <r>
    <x v="5"/>
    <x v="2"/>
    <n v="52183500"/>
    <n v="0"/>
  </r>
  <r>
    <x v="6"/>
    <x v="2"/>
    <n v="29330000"/>
    <n v="32263000.000000004"/>
  </r>
  <r>
    <x v="7"/>
    <x v="2"/>
    <n v="69480000"/>
    <n v="125064000"/>
  </r>
  <r>
    <x v="0"/>
    <x v="3"/>
    <n v="37412000"/>
    <n v="35167280"/>
  </r>
  <r>
    <x v="1"/>
    <x v="3"/>
    <n v="0"/>
    <n v="0"/>
  </r>
  <r>
    <x v="2"/>
    <x v="3"/>
    <n v="12881000.000000002"/>
    <n v="9016700"/>
  </r>
  <r>
    <x v="3"/>
    <x v="3"/>
    <n v="20985500"/>
    <n v="25182600"/>
  </r>
  <r>
    <x v="4"/>
    <x v="3"/>
    <n v="40606778"/>
    <n v="38170371.32"/>
  </r>
  <r>
    <x v="5"/>
    <x v="3"/>
    <n v="12108140.000000002"/>
    <n v="0"/>
  </r>
  <r>
    <x v="6"/>
    <x v="3"/>
    <n v="19726370"/>
    <n v="21699007"/>
  </r>
  <r>
    <x v="7"/>
    <x v="3"/>
    <n v="38170371.32"/>
    <n v="68706668.37600000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2">
  <r>
    <x v="0"/>
    <x v="0"/>
    <n v="5458261.0909090908"/>
    <n v="10566818.181818182"/>
  </r>
  <r>
    <x v="1"/>
    <x v="0"/>
    <n v="9107457.6623376776"/>
    <n v="11412163.636363637"/>
  </r>
  <r>
    <x v="2"/>
    <x v="0"/>
    <n v="25082930.493506487"/>
    <n v="1352552.7272727273"/>
  </r>
  <r>
    <x v="3"/>
    <x v="0"/>
    <n v="31385454.545454547"/>
    <n v="10313214.545454547"/>
  </r>
  <r>
    <x v="4"/>
    <x v="0"/>
    <n v="0"/>
    <n v="28741745.454545457"/>
  </r>
  <r>
    <x v="5"/>
    <x v="0"/>
    <n v="0"/>
    <n v="8030781.8181818184"/>
  </r>
  <r>
    <x v="6"/>
    <x v="0"/>
    <n v="3939545.4545454546"/>
    <n v="1014414.5454545455"/>
  </r>
  <r>
    <x v="7"/>
    <x v="0"/>
    <n v="0"/>
    <n v="12680181.818181818"/>
  </r>
  <r>
    <x v="0"/>
    <x v="1"/>
    <n v="43198700"/>
    <n v="40606778"/>
  </r>
  <r>
    <x v="1"/>
    <x v="1"/>
    <n v="125000"/>
    <n v="187500"/>
  </r>
  <r>
    <x v="2"/>
    <x v="1"/>
    <n v="24148600"/>
    <n v="16904020"/>
  </r>
  <r>
    <x v="3"/>
    <x v="1"/>
    <n v="52183500"/>
    <n v="62620200"/>
  </r>
  <r>
    <x v="4"/>
    <x v="1"/>
    <n v="29330000"/>
    <n v="27570200"/>
  </r>
  <r>
    <x v="5"/>
    <x v="1"/>
    <n v="69480000"/>
    <n v="0"/>
  </r>
  <r>
    <x v="6"/>
    <x v="1"/>
    <n v="37412000"/>
    <n v="41153200"/>
  </r>
  <r>
    <x v="7"/>
    <x v="1"/>
    <n v="0"/>
    <n v="0"/>
  </r>
  <r>
    <x v="0"/>
    <x v="2"/>
    <n v="12881000.000000002"/>
    <n v="12108140.000000002"/>
  </r>
  <r>
    <x v="1"/>
    <x v="2"/>
    <n v="20985500"/>
    <n v="31478250"/>
  </r>
  <r>
    <x v="2"/>
    <x v="2"/>
    <n v="40606778"/>
    <n v="28424744.599999998"/>
  </r>
  <r>
    <x v="3"/>
    <x v="2"/>
    <n v="29989854"/>
    <n v="35987824.799999997"/>
  </r>
  <r>
    <x v="4"/>
    <x v="2"/>
    <n v="24148600"/>
    <n v="22699684"/>
  </r>
  <r>
    <x v="5"/>
    <x v="2"/>
    <n v="52183500"/>
    <n v="0"/>
  </r>
  <r>
    <x v="6"/>
    <x v="2"/>
    <n v="29330000"/>
    <n v="32263000.000000004"/>
  </r>
  <r>
    <x v="7"/>
    <x v="2"/>
    <n v="69480000"/>
    <n v="125064000"/>
  </r>
  <r>
    <x v="0"/>
    <x v="3"/>
    <n v="37412000"/>
    <n v="35167280"/>
  </r>
  <r>
    <x v="1"/>
    <x v="3"/>
    <n v="0"/>
    <n v="0"/>
  </r>
  <r>
    <x v="2"/>
    <x v="3"/>
    <n v="12881000.000000002"/>
    <n v="9016700"/>
  </r>
  <r>
    <x v="3"/>
    <x v="3"/>
    <n v="20985500"/>
    <n v="25182600"/>
  </r>
  <r>
    <x v="4"/>
    <x v="3"/>
    <n v="40606778"/>
    <n v="38170371.32"/>
  </r>
  <r>
    <x v="5"/>
    <x v="3"/>
    <n v="12108140.000000002"/>
    <n v="0"/>
  </r>
  <r>
    <x v="6"/>
    <x v="3"/>
    <n v="19726370"/>
    <n v="21699007"/>
  </r>
  <r>
    <x v="7"/>
    <x v="3"/>
    <n v="38170371.32"/>
    <n v="68706668.3760000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 dinámica3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5">
  <location ref="A3:C40" firstHeaderRow="0" firstDataRow="1" firstDataCol="1"/>
  <pivotFields count="4">
    <pivotField axis="axisRow" showAll="0">
      <items count="9">
        <item x="7"/>
        <item x="4"/>
        <item n="CONTRATOS" x="1"/>
        <item x="3"/>
        <item x="2"/>
        <item x="0"/>
        <item x="6"/>
        <item x="5"/>
        <item t="default"/>
      </items>
    </pivotField>
    <pivotField axis="axisRow" showAll="0">
      <items count="5">
        <item n="PROYECTO TIC 1" x="0"/>
        <item x="1"/>
        <item x="2"/>
        <item x="3"/>
        <item t="default"/>
      </items>
    </pivotField>
    <pivotField dataField="1" numFmtId="165" showAll="0"/>
    <pivotField dataField="1" numFmtId="165" showAll="0"/>
  </pivotFields>
  <rowFields count="2">
    <field x="1"/>
    <field x="0"/>
  </rowFields>
  <rowItems count="37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 COSTOS 2013" fld="3" baseField="0" baseItem="0"/>
    <dataField name="COSTOS 2014" fld="2" baseField="0" baseItem="0"/>
  </dataFields>
  <formats count="17">
    <format dxfId="23">
      <pivotArea collapsedLevelsAreSubtotals="1" fieldPosition="0">
        <references count="2">
          <reference field="0" count="0"/>
          <reference field="1" count="1" selected="0">
            <x v="1"/>
          </reference>
        </references>
      </pivotArea>
    </format>
    <format dxfId="22">
      <pivotArea collapsedLevelsAreSubtotals="1" fieldPosition="0">
        <references count="1">
          <reference field="1" count="1">
            <x v="2"/>
          </reference>
        </references>
      </pivotArea>
    </format>
    <format dxfId="21">
      <pivotArea collapsedLevelsAreSubtotals="1" fieldPosition="0">
        <references count="2">
          <reference field="0" count="0"/>
          <reference field="1" count="1" selected="0">
            <x v="2"/>
          </reference>
        </references>
      </pivotArea>
    </format>
    <format dxfId="20">
      <pivotArea collapsedLevelsAreSubtotals="1" fieldPosition="0">
        <references count="1">
          <reference field="1" count="1">
            <x v="3"/>
          </reference>
        </references>
      </pivotArea>
    </format>
    <format dxfId="19">
      <pivotArea collapsedLevelsAreSubtotals="1" fieldPosition="0">
        <references count="2">
          <reference field="0" count="0"/>
          <reference field="1" count="1" selected="0">
            <x v="3"/>
          </reference>
        </references>
      </pivotArea>
    </format>
    <format dxfId="18">
      <pivotArea grandRow="1" outline="0" collapsedLevelsAreSubtotals="1" fieldPosition="0"/>
    </format>
    <format dxfId="17">
      <pivotArea collapsedLevelsAreSubtotals="1" fieldPosition="0">
        <references count="1">
          <reference field="1" count="1">
            <x v="0"/>
          </reference>
        </references>
      </pivotArea>
    </format>
    <format dxfId="16">
      <pivotArea collapsedLevelsAreSubtotals="1" fieldPosition="0">
        <references count="2">
          <reference field="0" count="0"/>
          <reference field="1" count="1" selected="0">
            <x v="0"/>
          </reference>
        </references>
      </pivotArea>
    </format>
    <format dxfId="15">
      <pivotArea collapsedLevelsAreSubtotals="1" fieldPosition="0">
        <references count="1">
          <reference field="1" count="1">
            <x v="1"/>
          </reference>
        </references>
      </pivotArea>
    </format>
    <format dxfId="14">
      <pivotArea collapsedLevelsAreSubtotals="1" fieldPosition="0">
        <references count="1">
          <reference field="1" count="1">
            <x v="3"/>
          </reference>
        </references>
      </pivotArea>
    </format>
    <format dxfId="13">
      <pivotArea dataOnly="0" labelOnly="1" fieldPosition="0">
        <references count="1">
          <reference field="1" count="1">
            <x v="3"/>
          </reference>
        </references>
      </pivotArea>
    </format>
    <format dxfId="12">
      <pivotArea collapsedLevelsAreSubtotals="1" fieldPosition="0">
        <references count="1">
          <reference field="1" count="1">
            <x v="2"/>
          </reference>
        </references>
      </pivotArea>
    </format>
    <format dxfId="11">
      <pivotArea dataOnly="0" labelOnly="1" fieldPosition="0">
        <references count="1">
          <reference field="1" count="1">
            <x v="2"/>
          </reference>
        </references>
      </pivotArea>
    </format>
    <format dxfId="10">
      <pivotArea collapsedLevelsAreSubtotals="1" fieldPosition="0">
        <references count="1">
          <reference field="1" count="1">
            <x v="1"/>
          </reference>
        </references>
      </pivotArea>
    </format>
    <format dxfId="9">
      <pivotArea dataOnly="0" labelOnly="1" fieldPosition="0">
        <references count="1">
          <reference field="1" count="1">
            <x v="1"/>
          </reference>
        </references>
      </pivotArea>
    </format>
    <format dxfId="8">
      <pivotArea collapsedLevelsAreSubtotals="1" fieldPosition="0">
        <references count="1">
          <reference field="1" count="1">
            <x v="0"/>
          </reference>
        </references>
      </pivotArea>
    </format>
    <format dxfId="7">
      <pivotArea dataOnly="0" labelOnly="1" fieldPosition="0">
        <references count="1">
          <reference field="1" count="1">
            <x v="0"/>
          </reference>
        </references>
      </pivotArea>
    </format>
  </formats>
  <chartFormats count="2">
    <chartFormat chart="0" format="0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2" cacheId="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F1:H38" firstHeaderRow="0" firstDataRow="1" firstDataCol="1"/>
  <pivotFields count="4">
    <pivotField axis="axisRow" showAll="0" defaultSubtotal="0">
      <items count="8">
        <item x="7"/>
        <item x="4"/>
        <item x="3"/>
        <item x="1"/>
        <item x="2"/>
        <item x="0"/>
        <item x="6"/>
        <item x="5"/>
      </items>
    </pivotField>
    <pivotField axis="axisRow" showAll="0">
      <items count="9">
        <item m="1" x="6"/>
        <item m="1" x="7"/>
        <item m="1" x="4"/>
        <item m="1" x="5"/>
        <item x="0"/>
        <item x="1"/>
        <item x="2"/>
        <item x="3"/>
        <item t="default"/>
      </items>
    </pivotField>
    <pivotField dataField="1" numFmtId="165" showAll="0"/>
    <pivotField dataField="1" numFmtId="165" showAll="0" defaultSubtotal="0"/>
  </pivotFields>
  <rowFields count="2">
    <field x="1"/>
    <field x="0"/>
  </rowFields>
  <rowItems count="37"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STO 2013" fld="2" baseField="0" baseItem="0"/>
    <dataField name="Suma de COSTO 2014" fld="3" baseField="0" baseItem="0"/>
  </dataFields>
  <formats count="7">
    <format dxfId="6">
      <pivotArea outline="0" collapsedLevelsAreSubtotals="1" fieldPosition="0"/>
    </format>
    <format dxfId="5">
      <pivotArea collapsedLevelsAreSubtotals="1" fieldPosition="0">
        <references count="1">
          <reference field="1" count="1">
            <x v="5"/>
          </reference>
        </references>
      </pivotArea>
    </format>
    <format dxfId="4">
      <pivotArea dataOnly="0" labelOnly="1" fieldPosition="0">
        <references count="1">
          <reference field="1" count="1">
            <x v="5"/>
          </reference>
        </references>
      </pivotArea>
    </format>
    <format dxfId="3">
      <pivotArea collapsedLevelsAreSubtotals="1" fieldPosition="0">
        <references count="1">
          <reference field="1" count="1">
            <x v="4"/>
          </reference>
        </references>
      </pivotArea>
    </format>
    <format dxfId="2">
      <pivotArea dataOnly="0" labelOnly="1" fieldPosition="0">
        <references count="1">
          <reference field="1" count="1">
            <x v="4"/>
          </reference>
        </references>
      </pivotArea>
    </format>
    <format dxfId="1">
      <pivotArea collapsedLevelsAreSubtotals="1" fieldPosition="0">
        <references count="1">
          <reference field="1" count="1">
            <x v="6"/>
          </reference>
        </references>
      </pivotArea>
    </format>
    <format dxfId="0">
      <pivotArea dataOnly="0" labelOnly="1" fieldPosition="0">
        <references count="1">
          <reference field="1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activeCell="P8" sqref="P8"/>
    </sheetView>
  </sheetViews>
  <sheetFormatPr baseColWidth="10" defaultRowHeight="15" x14ac:dyDescent="0.25"/>
  <cols>
    <col min="3" max="3" width="12.140625" customWidth="1"/>
    <col min="4" max="4" width="13.5703125" style="1" customWidth="1"/>
    <col min="5" max="5" width="13.5703125" style="2" customWidth="1"/>
    <col min="6" max="6" width="12.140625" style="3" customWidth="1"/>
    <col min="7" max="7" width="9.42578125" customWidth="1"/>
    <col min="8" max="8" width="12.140625" customWidth="1"/>
    <col min="9" max="9" width="8.7109375" customWidth="1"/>
    <col min="10" max="10" width="9.42578125" customWidth="1"/>
    <col min="11" max="11" width="12.28515625" customWidth="1"/>
    <col min="12" max="12" width="8.28515625" customWidth="1"/>
    <col min="13" max="13" width="9.28515625" customWidth="1"/>
    <col min="14" max="14" width="12.28515625" customWidth="1"/>
    <col min="15" max="15" width="8.42578125" customWidth="1"/>
    <col min="16" max="16" width="12.28515625" customWidth="1"/>
  </cols>
  <sheetData>
    <row r="1" spans="1:16" ht="15.75" thickBot="1" x14ac:dyDescent="0.3">
      <c r="B1" s="9"/>
      <c r="C1" s="9"/>
      <c r="D1" s="156">
        <v>0.4</v>
      </c>
      <c r="E1" s="9"/>
      <c r="F1" s="9"/>
      <c r="G1" s="9"/>
      <c r="H1" s="156">
        <v>0.3</v>
      </c>
      <c r="I1" s="9"/>
      <c r="J1" s="9"/>
      <c r="K1" s="156">
        <v>0.15</v>
      </c>
      <c r="L1" s="9"/>
      <c r="M1" s="9"/>
      <c r="N1" s="156">
        <v>0.15</v>
      </c>
      <c r="O1" s="9"/>
      <c r="P1" s="156">
        <f>SUM(D1,H1,K1,N1)</f>
        <v>1</v>
      </c>
    </row>
    <row r="2" spans="1:16" ht="16.5" thickBot="1" x14ac:dyDescent="0.3">
      <c r="A2" s="263" t="s">
        <v>147</v>
      </c>
      <c r="B2" s="264" t="s">
        <v>171</v>
      </c>
      <c r="C2" s="265"/>
      <c r="D2" s="265"/>
      <c r="E2" s="265"/>
      <c r="F2" s="266"/>
      <c r="G2" s="267" t="s">
        <v>172</v>
      </c>
      <c r="H2" s="267"/>
      <c r="I2" s="267"/>
      <c r="J2" s="268" t="s">
        <v>173</v>
      </c>
      <c r="K2" s="268"/>
      <c r="L2" s="268"/>
      <c r="M2" s="269" t="s">
        <v>174</v>
      </c>
      <c r="N2" s="269"/>
      <c r="O2" s="269"/>
      <c r="P2" s="148" t="s">
        <v>153</v>
      </c>
    </row>
    <row r="3" spans="1:16" ht="45" customHeight="1" x14ac:dyDescent="0.25">
      <c r="A3" s="263"/>
      <c r="B3" s="151" t="s">
        <v>158</v>
      </c>
      <c r="C3" s="155" t="s">
        <v>148</v>
      </c>
      <c r="D3" s="152" t="s">
        <v>170</v>
      </c>
      <c r="E3" s="152" t="s">
        <v>169</v>
      </c>
      <c r="F3" s="153" t="s">
        <v>168</v>
      </c>
      <c r="G3" s="152" t="s">
        <v>167</v>
      </c>
      <c r="H3" s="152" t="s">
        <v>166</v>
      </c>
      <c r="I3" s="152" t="s">
        <v>165</v>
      </c>
      <c r="J3" s="152" t="s">
        <v>164</v>
      </c>
      <c r="K3" s="152" t="s">
        <v>163</v>
      </c>
      <c r="L3" s="152" t="s">
        <v>162</v>
      </c>
      <c r="M3" s="152" t="s">
        <v>161</v>
      </c>
      <c r="N3" s="152" t="s">
        <v>160</v>
      </c>
      <c r="O3" s="154" t="s">
        <v>159</v>
      </c>
      <c r="P3" s="148"/>
    </row>
    <row r="4" spans="1:16" ht="18.75" customHeight="1" x14ac:dyDescent="0.25">
      <c r="A4" s="263"/>
      <c r="B4" s="150">
        <v>0.15</v>
      </c>
      <c r="C4" s="150">
        <v>0.15</v>
      </c>
      <c r="D4" s="150">
        <v>0.15</v>
      </c>
      <c r="E4" s="150">
        <v>0.2</v>
      </c>
      <c r="F4" s="150">
        <v>0.35</v>
      </c>
      <c r="G4" s="150">
        <v>0.3</v>
      </c>
      <c r="H4" s="150">
        <v>0.3</v>
      </c>
      <c r="I4" s="150">
        <v>0.4</v>
      </c>
      <c r="J4" s="150">
        <v>0.2</v>
      </c>
      <c r="K4" s="150">
        <v>0.4</v>
      </c>
      <c r="L4" s="150">
        <v>0.4</v>
      </c>
      <c r="M4" s="150">
        <v>0.2</v>
      </c>
      <c r="N4" s="150">
        <v>0.4</v>
      </c>
      <c r="O4" s="150">
        <v>0.4</v>
      </c>
      <c r="P4" s="149"/>
    </row>
    <row r="5" spans="1:16" ht="15.75" x14ac:dyDescent="0.25">
      <c r="A5" s="9" t="s">
        <v>149</v>
      </c>
      <c r="B5" s="100">
        <v>2</v>
      </c>
      <c r="C5" s="100">
        <v>1</v>
      </c>
      <c r="D5" s="100">
        <v>4</v>
      </c>
      <c r="E5" s="100">
        <v>4.3333333333333304</v>
      </c>
      <c r="F5" s="100">
        <v>5</v>
      </c>
      <c r="G5" s="100">
        <v>4</v>
      </c>
      <c r="H5" s="100">
        <v>3</v>
      </c>
      <c r="I5" s="100">
        <v>5</v>
      </c>
      <c r="J5" s="100">
        <v>5</v>
      </c>
      <c r="K5" s="100">
        <v>4</v>
      </c>
      <c r="L5" s="100">
        <v>3</v>
      </c>
      <c r="M5" s="100">
        <v>4</v>
      </c>
      <c r="N5" s="100">
        <v>5</v>
      </c>
      <c r="O5" s="100">
        <v>2</v>
      </c>
      <c r="P5" s="145">
        <f>(B5*$B$4+C5*$C$4+D5*$D$4+E5*$E$4+F5*$F$4)*$D$1+(G5*$G$4+H5*$H$4+I5*$I$4)*$H$1+(J5*$J$4+K5*$K$4+L5*$L$4)*K1+(M5*$M$4+N5*$N$4+O5*$O$4)*$N$1</f>
        <v>3.8066666666666666</v>
      </c>
    </row>
    <row r="6" spans="1:16" ht="15.75" x14ac:dyDescent="0.25">
      <c r="A6" s="9" t="s">
        <v>150</v>
      </c>
      <c r="B6" s="100">
        <v>3</v>
      </c>
      <c r="C6" s="100">
        <v>3</v>
      </c>
      <c r="D6" s="100">
        <v>3</v>
      </c>
      <c r="E6" s="100">
        <v>3</v>
      </c>
      <c r="F6" s="100">
        <v>3</v>
      </c>
      <c r="G6" s="100">
        <v>4</v>
      </c>
      <c r="H6" s="100">
        <v>3</v>
      </c>
      <c r="I6" s="100">
        <v>3</v>
      </c>
      <c r="J6" s="100">
        <v>4</v>
      </c>
      <c r="K6" s="100">
        <v>3</v>
      </c>
      <c r="L6" s="100">
        <v>3</v>
      </c>
      <c r="M6" s="100">
        <v>4</v>
      </c>
      <c r="N6" s="100">
        <v>3</v>
      </c>
      <c r="O6" s="100">
        <v>3</v>
      </c>
      <c r="P6" s="145">
        <f>(B6*$B$4+C6*$C$4+D6*$D$4+E6*$E$4+F6*$F$4)*$D$1+(G6*$G$4+H6*$H$4+I6*$I$4)*$H$1+(J6*$J$4+K6*$K$4+L6*$L$4)*K2+(M6*$M$4+N6*$N$4+O6*$O$4)*$N$1</f>
        <v>2.67</v>
      </c>
    </row>
    <row r="7" spans="1:16" ht="15.75" x14ac:dyDescent="0.25">
      <c r="A7" s="9" t="s">
        <v>151</v>
      </c>
      <c r="B7" s="100">
        <v>4</v>
      </c>
      <c r="C7" s="100">
        <v>3</v>
      </c>
      <c r="D7" s="100">
        <v>5</v>
      </c>
      <c r="E7" s="100">
        <v>5</v>
      </c>
      <c r="F7" s="100">
        <v>3</v>
      </c>
      <c r="G7" s="100">
        <v>4</v>
      </c>
      <c r="H7" s="100">
        <v>4</v>
      </c>
      <c r="I7" s="100">
        <v>4</v>
      </c>
      <c r="J7" s="100">
        <v>4</v>
      </c>
      <c r="K7" s="100">
        <v>4</v>
      </c>
      <c r="L7" s="100">
        <v>4.5</v>
      </c>
      <c r="M7" s="100">
        <v>3</v>
      </c>
      <c r="N7" s="100">
        <v>4</v>
      </c>
      <c r="O7" s="100">
        <v>3</v>
      </c>
      <c r="P7" s="145">
        <v>3.45</v>
      </c>
    </row>
    <row r="8" spans="1:16" ht="15.75" x14ac:dyDescent="0.25">
      <c r="A8" s="9" t="s">
        <v>152</v>
      </c>
      <c r="B8" s="100">
        <v>1</v>
      </c>
      <c r="C8" s="100">
        <v>2</v>
      </c>
      <c r="D8" s="100">
        <v>4</v>
      </c>
      <c r="E8" s="100">
        <v>5.3333333333333304</v>
      </c>
      <c r="F8" s="100">
        <v>6.8333333333333304</v>
      </c>
      <c r="G8" s="100">
        <v>4</v>
      </c>
      <c r="H8" s="100">
        <v>5</v>
      </c>
      <c r="I8" s="100">
        <v>3</v>
      </c>
      <c r="J8" s="100">
        <v>2</v>
      </c>
      <c r="K8" s="100">
        <v>4</v>
      </c>
      <c r="L8" s="100">
        <v>5</v>
      </c>
      <c r="M8" s="100">
        <v>4</v>
      </c>
      <c r="N8" s="100">
        <v>5</v>
      </c>
      <c r="O8" s="100">
        <v>5</v>
      </c>
      <c r="P8" s="145">
        <f>(B8*$B$4+C8*$C$4+D8*$D$4+E8*$E$4+F8*$F$4)*$D$1+(G8*$G$4+H8*$H$4+I8*$I$4)*$H$1+(J8*$J$4+K8*$K$4+L8*$L$4)*K4+(M8*$M$4+N8*$N$4+O8*$O$4)*$N$1</f>
        <v>5.2933333333333321</v>
      </c>
    </row>
    <row r="9" spans="1:16" x14ac:dyDescent="0.25">
      <c r="D9"/>
      <c r="E9"/>
      <c r="F9"/>
    </row>
    <row r="10" spans="1:16" x14ac:dyDescent="0.25">
      <c r="A10" s="142"/>
      <c r="B10" s="113"/>
      <c r="C10" s="113"/>
      <c r="D10" s="143"/>
      <c r="E10" s="143"/>
      <c r="F10" s="144"/>
      <c r="G10" s="113"/>
    </row>
    <row r="11" spans="1:16" x14ac:dyDescent="0.25">
      <c r="A11" s="142"/>
      <c r="B11" s="113"/>
      <c r="C11" s="113"/>
      <c r="D11" s="143"/>
      <c r="E11" s="143"/>
      <c r="F11" s="144"/>
      <c r="G11" s="113"/>
    </row>
    <row r="12" spans="1:16" x14ac:dyDescent="0.25">
      <c r="A12" s="142"/>
      <c r="B12" s="113"/>
      <c r="C12" s="113"/>
      <c r="D12" s="143"/>
      <c r="E12" s="143"/>
      <c r="F12" s="144"/>
      <c r="G12" s="113"/>
    </row>
    <row r="13" spans="1:16" x14ac:dyDescent="0.25">
      <c r="A13" s="142"/>
      <c r="B13" s="113"/>
      <c r="C13" s="113"/>
      <c r="D13" s="143"/>
      <c r="E13" s="143"/>
      <c r="F13" s="144"/>
      <c r="G13" s="113"/>
    </row>
    <row r="14" spans="1:16" x14ac:dyDescent="0.25">
      <c r="A14" s="142"/>
      <c r="B14" s="113"/>
      <c r="C14" s="113"/>
      <c r="D14" s="143"/>
      <c r="E14" s="143"/>
      <c r="F14" s="144"/>
      <c r="G14" s="113"/>
    </row>
    <row r="15" spans="1:16" x14ac:dyDescent="0.25">
      <c r="A15" s="142"/>
      <c r="B15" s="113"/>
      <c r="C15" s="113"/>
      <c r="D15" s="143"/>
      <c r="E15" s="143"/>
      <c r="F15" s="144"/>
      <c r="G15" s="113"/>
    </row>
    <row r="16" spans="1:16" x14ac:dyDescent="0.25">
      <c r="A16" s="142"/>
      <c r="B16" s="113"/>
      <c r="C16" s="113"/>
      <c r="D16" s="143"/>
      <c r="E16" s="143"/>
      <c r="F16" s="144"/>
      <c r="G16" s="113"/>
    </row>
    <row r="17" spans="4:6" x14ac:dyDescent="0.25">
      <c r="D17" s="5"/>
      <c r="E17" s="5"/>
      <c r="F17" s="4"/>
    </row>
    <row r="18" spans="4:6" x14ac:dyDescent="0.25">
      <c r="D18" s="5"/>
      <c r="E18" s="5"/>
      <c r="F18" s="4"/>
    </row>
    <row r="19" spans="4:6" x14ac:dyDescent="0.25">
      <c r="D19" s="5"/>
    </row>
    <row r="20" spans="4:6" x14ac:dyDescent="0.25">
      <c r="D20" s="5"/>
    </row>
    <row r="21" spans="4:6" x14ac:dyDescent="0.25">
      <c r="D21" s="5"/>
    </row>
    <row r="22" spans="4:6" x14ac:dyDescent="0.25">
      <c r="D22" s="5"/>
    </row>
    <row r="23" spans="4:6" x14ac:dyDescent="0.25">
      <c r="D23" s="5"/>
    </row>
    <row r="24" spans="4:6" x14ac:dyDescent="0.25">
      <c r="D24" s="5"/>
    </row>
    <row r="25" spans="4:6" x14ac:dyDescent="0.25">
      <c r="D25" s="5"/>
    </row>
    <row r="26" spans="4:6" x14ac:dyDescent="0.25">
      <c r="D26" s="5"/>
    </row>
    <row r="27" spans="4:6" x14ac:dyDescent="0.25">
      <c r="D27" s="5"/>
    </row>
    <row r="28" spans="4:6" x14ac:dyDescent="0.25">
      <c r="D28" s="5"/>
    </row>
    <row r="29" spans="4:6" x14ac:dyDescent="0.25">
      <c r="D29" s="5"/>
    </row>
    <row r="30" spans="4:6" x14ac:dyDescent="0.25">
      <c r="D30" s="5"/>
    </row>
    <row r="31" spans="4:6" x14ac:dyDescent="0.25">
      <c r="D31" s="5"/>
    </row>
  </sheetData>
  <customSheetViews>
    <customSheetView guid="{BEA796F3-A52F-431A-AFFF-913FC1A42D3C}">
      <selection activeCell="P8" sqref="P8"/>
      <pageMargins left="0.7" right="0.7" top="0.75" bottom="0.75" header="0.3" footer="0.3"/>
      <pageSetup orientation="portrait" r:id="rId1"/>
    </customSheetView>
  </customSheetViews>
  <mergeCells count="5">
    <mergeCell ref="A2:A4"/>
    <mergeCell ref="B2:F2"/>
    <mergeCell ref="G2:I2"/>
    <mergeCell ref="J2:L2"/>
    <mergeCell ref="M2:O2"/>
  </mergeCells>
  <dataValidations xWindow="85" yWindow="392" count="2">
    <dataValidation type="whole" allowBlank="1" showInputMessage="1" showErrorMessage="1" error="ojo repita el valor" promptTitle="categoria de empledo" prompt="debe minimo uno maximo 3" sqref="C3 C9:C18">
      <formula1>1</formula1>
      <formula2>3</formula2>
    </dataValidation>
    <dataValidation type="decimal" allowBlank="1" showInputMessage="1" showErrorMessage="1" error="ojo repita el valor" promptTitle="Nota asignada al atributo" prompt="Debe ser minimo 1 y maximo 5" sqref="B5:O8">
      <formula1>1</formula1>
      <formula2>5</formula2>
    </dataValidation>
  </dataValidation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sqref="A1:J4"/>
    </sheetView>
  </sheetViews>
  <sheetFormatPr baseColWidth="10" defaultRowHeight="15" x14ac:dyDescent="0.25"/>
  <cols>
    <col min="1" max="1" width="18.28515625" customWidth="1"/>
    <col min="2" max="2" width="12.5703125" bestFit="1" customWidth="1"/>
    <col min="3" max="3" width="7.7109375" customWidth="1"/>
    <col min="4" max="4" width="7.5703125" customWidth="1"/>
    <col min="5" max="5" width="12.5703125" bestFit="1" customWidth="1"/>
    <col min="6" max="6" width="7.140625" customWidth="1"/>
    <col min="7" max="7" width="7.7109375" customWidth="1"/>
    <col min="8" max="8" width="14.28515625" customWidth="1"/>
    <col min="9" max="9" width="7.28515625" customWidth="1"/>
    <col min="10" max="10" width="8.28515625" customWidth="1"/>
  </cols>
  <sheetData>
    <row r="1" spans="1:10" x14ac:dyDescent="0.25">
      <c r="A1" s="90" t="s">
        <v>56</v>
      </c>
      <c r="B1" s="274" t="s">
        <v>61</v>
      </c>
      <c r="C1" s="274"/>
      <c r="D1" s="90"/>
      <c r="E1" s="274" t="s">
        <v>62</v>
      </c>
      <c r="F1" s="274"/>
      <c r="G1" s="90"/>
      <c r="H1" s="274" t="s">
        <v>63</v>
      </c>
      <c r="I1" s="274"/>
      <c r="J1" s="86"/>
    </row>
    <row r="2" spans="1:10" x14ac:dyDescent="0.25">
      <c r="A2" s="85"/>
      <c r="B2" s="85" t="s">
        <v>58</v>
      </c>
      <c r="C2" s="85" t="s">
        <v>59</v>
      </c>
      <c r="D2" s="85" t="s">
        <v>60</v>
      </c>
      <c r="E2" s="85" t="s">
        <v>58</v>
      </c>
      <c r="F2" s="85" t="s">
        <v>59</v>
      </c>
      <c r="G2" s="85" t="s">
        <v>60</v>
      </c>
      <c r="H2" s="85" t="s">
        <v>58</v>
      </c>
      <c r="I2" s="85" t="s">
        <v>59</v>
      </c>
      <c r="J2" s="85" t="s">
        <v>60</v>
      </c>
    </row>
    <row r="3" spans="1:10" x14ac:dyDescent="0.25">
      <c r="A3" s="85" t="s">
        <v>57</v>
      </c>
      <c r="B3" s="87">
        <v>300000000</v>
      </c>
      <c r="C3" s="88">
        <v>0.12</v>
      </c>
      <c r="D3" s="89">
        <v>10</v>
      </c>
      <c r="E3" s="87">
        <v>250000000</v>
      </c>
      <c r="F3" s="88">
        <v>0.16</v>
      </c>
      <c r="G3" s="89">
        <v>10</v>
      </c>
      <c r="H3" s="87">
        <v>300000000</v>
      </c>
      <c r="I3" s="88">
        <v>0.13</v>
      </c>
      <c r="J3" s="89">
        <v>10</v>
      </c>
    </row>
    <row r="4" spans="1:10" x14ac:dyDescent="0.25">
      <c r="A4" s="86" t="s">
        <v>64</v>
      </c>
      <c r="B4" s="87">
        <v>400000000</v>
      </c>
      <c r="C4" s="88">
        <v>0.13</v>
      </c>
      <c r="D4" s="89">
        <v>8</v>
      </c>
      <c r="E4" s="87">
        <v>450000000</v>
      </c>
      <c r="F4" s="88">
        <v>0.14000000000000001</v>
      </c>
      <c r="G4" s="89">
        <v>12</v>
      </c>
      <c r="H4" s="87">
        <v>420000000</v>
      </c>
      <c r="I4" s="88">
        <v>0.14000000000000001</v>
      </c>
      <c r="J4" s="89">
        <v>12</v>
      </c>
    </row>
  </sheetData>
  <customSheetViews>
    <customSheetView guid="{BEA796F3-A52F-431A-AFFF-913FC1A42D3C}">
      <selection activeCell="H4" sqref="H4"/>
      <pageMargins left="0.7" right="0.7" top="0.75" bottom="0.75" header="0.3" footer="0.3"/>
    </customSheetView>
  </customSheetViews>
  <mergeCells count="3">
    <mergeCell ref="B1:C1"/>
    <mergeCell ref="E1:F1"/>
    <mergeCell ref="H1:I1"/>
  </mergeCells>
  <dataValidations count="1">
    <dataValidation type="whole" allowBlank="1" showInputMessage="1" showErrorMessage="1" sqref="J3:J4 G3:G4">
      <formula1>3</formula1>
      <formula2>20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B1" sqref="B1:C9"/>
    </sheetView>
  </sheetViews>
  <sheetFormatPr baseColWidth="10" defaultRowHeight="15" x14ac:dyDescent="0.25"/>
  <cols>
    <col min="1" max="1" width="28.140625" customWidth="1"/>
    <col min="2" max="2" width="8.28515625" customWidth="1"/>
    <col min="3" max="3" width="19" customWidth="1"/>
    <col min="6" max="6" width="12.140625" customWidth="1"/>
  </cols>
  <sheetData>
    <row r="1" spans="1:6" ht="15.75" thickBot="1" x14ac:dyDescent="0.3">
      <c r="A1" s="37" t="s">
        <v>48</v>
      </c>
      <c r="B1" s="52" t="s">
        <v>9</v>
      </c>
      <c r="C1" s="53" t="s">
        <v>0</v>
      </c>
      <c r="D1" s="38"/>
      <c r="E1" s="187" t="s">
        <v>79</v>
      </c>
      <c r="F1" s="189" t="s">
        <v>125</v>
      </c>
    </row>
    <row r="2" spans="1:6" x14ac:dyDescent="0.25">
      <c r="A2" s="186" t="s">
        <v>181</v>
      </c>
      <c r="B2" s="54">
        <v>1</v>
      </c>
      <c r="C2" s="55" t="s">
        <v>18</v>
      </c>
      <c r="E2" s="186" t="s">
        <v>66</v>
      </c>
      <c r="F2" s="190" t="s">
        <v>126</v>
      </c>
    </row>
    <row r="3" spans="1:6" ht="15.75" thickBot="1" x14ac:dyDescent="0.3">
      <c r="A3" s="50"/>
      <c r="B3" s="54">
        <v>2</v>
      </c>
      <c r="C3" s="55" t="s">
        <v>154</v>
      </c>
      <c r="E3" s="188" t="s">
        <v>53</v>
      </c>
      <c r="F3" s="190" t="s">
        <v>127</v>
      </c>
    </row>
    <row r="4" spans="1:6" ht="15.75" thickBot="1" x14ac:dyDescent="0.3">
      <c r="A4" s="50"/>
      <c r="B4" s="54">
        <v>3</v>
      </c>
      <c r="C4" s="55" t="s">
        <v>180</v>
      </c>
      <c r="F4" s="191" t="s">
        <v>182</v>
      </c>
    </row>
    <row r="5" spans="1:6" x14ac:dyDescent="0.25">
      <c r="A5" s="50"/>
      <c r="B5" s="54">
        <v>4</v>
      </c>
      <c r="C5" s="55" t="s">
        <v>20</v>
      </c>
    </row>
    <row r="6" spans="1:6" x14ac:dyDescent="0.25">
      <c r="A6" s="50"/>
      <c r="B6" s="54">
        <v>5</v>
      </c>
      <c r="C6" s="55" t="s">
        <v>21</v>
      </c>
    </row>
    <row r="7" spans="1:6" ht="15.75" thickBot="1" x14ac:dyDescent="0.3">
      <c r="A7" s="51"/>
      <c r="B7" s="54">
        <v>6</v>
      </c>
      <c r="C7" s="55" t="s">
        <v>22</v>
      </c>
    </row>
    <row r="8" spans="1:6" x14ac:dyDescent="0.25">
      <c r="B8" s="54">
        <v>7</v>
      </c>
      <c r="C8" s="55" t="s">
        <v>23</v>
      </c>
    </row>
    <row r="9" spans="1:6" ht="15.75" thickBot="1" x14ac:dyDescent="0.3">
      <c r="B9" s="56">
        <v>8</v>
      </c>
      <c r="C9" s="57" t="s">
        <v>24</v>
      </c>
    </row>
  </sheetData>
  <customSheetViews>
    <customSheetView guid="{BEA796F3-A52F-431A-AFFF-913FC1A42D3C}">
      <selection activeCell="B1" sqref="B1:C9"/>
      <pageMargins left="0.7" right="0.7" top="0.75" bottom="0.75" header="0.3" footer="0.3"/>
    </customSheetView>
  </customSheetViews>
  <dataValidations count="1">
    <dataValidation type="list" allowBlank="1" showInputMessage="1" showErrorMessage="1" prompt="Solo 3 status posibles" sqref="F2:F3">
      <formula1>$L$4:$L$6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1" workbookViewId="0">
      <selection activeCell="A2" sqref="A2"/>
    </sheetView>
  </sheetViews>
  <sheetFormatPr baseColWidth="10" defaultRowHeight="15" x14ac:dyDescent="0.25"/>
  <cols>
    <col min="1" max="1" width="19.42578125" customWidth="1"/>
    <col min="2" max="2" width="20.28515625" customWidth="1"/>
    <col min="3" max="3" width="15" customWidth="1"/>
    <col min="4" max="4" width="20" customWidth="1"/>
  </cols>
  <sheetData>
    <row r="1" spans="1:5" ht="45" x14ac:dyDescent="0.25">
      <c r="A1" s="11" t="s">
        <v>114</v>
      </c>
      <c r="B1" s="101" t="s">
        <v>115</v>
      </c>
      <c r="C1" s="101" t="s">
        <v>143</v>
      </c>
      <c r="D1" s="101" t="s">
        <v>116</v>
      </c>
      <c r="E1" s="101" t="s">
        <v>131</v>
      </c>
    </row>
    <row r="2" spans="1:5" x14ac:dyDescent="0.25">
      <c r="A2" s="9" t="s">
        <v>117</v>
      </c>
      <c r="B2" s="9" t="s">
        <v>120</v>
      </c>
      <c r="C2" s="100">
        <v>8</v>
      </c>
      <c r="D2" s="9" t="s">
        <v>122</v>
      </c>
      <c r="E2" s="9" t="s">
        <v>132</v>
      </c>
    </row>
    <row r="3" spans="1:5" x14ac:dyDescent="0.25">
      <c r="A3" s="9" t="s">
        <v>119</v>
      </c>
      <c r="B3" s="9" t="s">
        <v>121</v>
      </c>
      <c r="C3" s="100">
        <v>1</v>
      </c>
      <c r="D3" s="9" t="s">
        <v>142</v>
      </c>
      <c r="E3" s="9" t="s">
        <v>133</v>
      </c>
    </row>
    <row r="4" spans="1:5" x14ac:dyDescent="0.25">
      <c r="A4" s="9" t="s">
        <v>118</v>
      </c>
      <c r="B4" s="9" t="s">
        <v>124</v>
      </c>
      <c r="C4" s="100">
        <v>6</v>
      </c>
      <c r="D4" s="9" t="s">
        <v>123</v>
      </c>
      <c r="E4" s="9" t="s">
        <v>134</v>
      </c>
    </row>
  </sheetData>
  <customSheetViews>
    <customSheetView guid="{BEA796F3-A52F-431A-AFFF-913FC1A42D3C}" topLeftCell="C1">
      <selection activeCell="A2" sqref="A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opLeftCell="A2" workbookViewId="0">
      <selection activeCell="L18" sqref="L18"/>
    </sheetView>
  </sheetViews>
  <sheetFormatPr baseColWidth="10" defaultRowHeight="15" x14ac:dyDescent="0.25"/>
  <cols>
    <col min="1" max="1" width="20.7109375" customWidth="1"/>
    <col min="2" max="2" width="14" customWidth="1"/>
    <col min="3" max="3" width="15.5703125" customWidth="1"/>
    <col min="4" max="4" width="13.28515625" customWidth="1"/>
    <col min="8" max="8" width="13.42578125" customWidth="1"/>
    <col min="9" max="9" width="13.85546875" customWidth="1"/>
    <col min="10" max="10" width="13.7109375" customWidth="1"/>
    <col min="11" max="12" width="13.140625" customWidth="1"/>
    <col min="13" max="13" width="12.5703125" bestFit="1" customWidth="1"/>
  </cols>
  <sheetData>
    <row r="1" spans="1:13" x14ac:dyDescent="0.25">
      <c r="C1" t="s">
        <v>128</v>
      </c>
      <c r="E1" t="s">
        <v>112</v>
      </c>
      <c r="F1" s="3">
        <f ca="1">TODAY()</f>
        <v>41575</v>
      </c>
    </row>
    <row r="2" spans="1:13" x14ac:dyDescent="0.25">
      <c r="A2" s="11" t="s">
        <v>81</v>
      </c>
      <c r="B2" s="12" t="s">
        <v>36</v>
      </c>
      <c r="C2" s="12" t="s">
        <v>35</v>
      </c>
      <c r="D2" s="12" t="s">
        <v>37</v>
      </c>
      <c r="E2" s="12" t="s">
        <v>38</v>
      </c>
      <c r="F2" s="12" t="s">
        <v>39</v>
      </c>
      <c r="G2" s="12" t="s">
        <v>40</v>
      </c>
      <c r="H2" s="12" t="s">
        <v>41</v>
      </c>
      <c r="I2" s="12" t="s">
        <v>42</v>
      </c>
      <c r="J2" s="12" t="s">
        <v>43</v>
      </c>
      <c r="K2" s="12" t="s">
        <v>44</v>
      </c>
      <c r="L2" s="12" t="s">
        <v>45</v>
      </c>
      <c r="M2" s="163" t="s">
        <v>28</v>
      </c>
    </row>
    <row r="3" spans="1:13" ht="15.75" thickBot="1" x14ac:dyDescent="0.3">
      <c r="A3" s="33" t="s">
        <v>69</v>
      </c>
      <c r="B3" s="31">
        <f>B12</f>
        <v>0</v>
      </c>
      <c r="C3" s="31">
        <v>0</v>
      </c>
      <c r="D3" s="31"/>
      <c r="E3" s="31"/>
      <c r="F3" s="31"/>
      <c r="G3" s="31"/>
      <c r="H3" s="31"/>
      <c r="I3" s="31"/>
      <c r="J3" s="31"/>
      <c r="K3" s="31"/>
      <c r="L3" s="31"/>
    </row>
    <row r="4" spans="1:13" x14ac:dyDescent="0.25">
      <c r="A4" s="34" t="s">
        <v>70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3" x14ac:dyDescent="0.25">
      <c r="A5" s="35" t="s">
        <v>71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x14ac:dyDescent="0.25">
      <c r="A6" s="35" t="s">
        <v>72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x14ac:dyDescent="0.25">
      <c r="A7" s="35" t="s">
        <v>73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35" t="s">
        <v>74</v>
      </c>
      <c r="B8" s="30">
        <v>0</v>
      </c>
      <c r="C8" s="30">
        <f>-IPMT($D$12,1,$F$12,$B$12)</f>
        <v>0</v>
      </c>
      <c r="D8" s="30"/>
      <c r="E8" s="30"/>
      <c r="F8" s="30"/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6">
        <f>SUM(B8:L8)</f>
        <v>0</v>
      </c>
    </row>
    <row r="9" spans="1:13" x14ac:dyDescent="0.25">
      <c r="A9" s="35" t="s">
        <v>178</v>
      </c>
      <c r="B9" s="30">
        <v>0</v>
      </c>
      <c r="C9" s="30">
        <f>-PPMT($D$12,1,$F$12,$B$12)</f>
        <v>0</v>
      </c>
      <c r="D9" s="30"/>
      <c r="E9" s="30"/>
      <c r="F9" s="30"/>
      <c r="G9" s="30"/>
      <c r="H9" s="30"/>
      <c r="I9" s="30"/>
      <c r="J9" s="30"/>
      <c r="K9" s="30"/>
      <c r="L9" s="30"/>
      <c r="M9" s="6">
        <f>SUM(B9:L9)</f>
        <v>0</v>
      </c>
    </row>
    <row r="10" spans="1:13" ht="15.75" thickBot="1" x14ac:dyDescent="0.3">
      <c r="A10" s="34" t="s">
        <v>75</v>
      </c>
      <c r="B10" s="31">
        <f>SUM(B5:B9)</f>
        <v>0</v>
      </c>
      <c r="C10" s="31">
        <f>SUM(C5:C9)</f>
        <v>0</v>
      </c>
      <c r="D10" s="31">
        <f t="shared" ref="D10:L10" si="0">SUM(D5:D9)</f>
        <v>0</v>
      </c>
      <c r="E10" s="31">
        <f t="shared" si="0"/>
        <v>0</v>
      </c>
      <c r="F10" s="31">
        <f t="shared" si="0"/>
        <v>0</v>
      </c>
      <c r="G10" s="31">
        <f t="shared" si="0"/>
        <v>0</v>
      </c>
      <c r="H10" s="31">
        <f t="shared" si="0"/>
        <v>0</v>
      </c>
      <c r="I10" s="31">
        <f t="shared" si="0"/>
        <v>0</v>
      </c>
      <c r="J10" s="31">
        <f t="shared" si="0"/>
        <v>0</v>
      </c>
      <c r="K10" s="31">
        <f t="shared" si="0"/>
        <v>0</v>
      </c>
      <c r="L10" s="31">
        <f t="shared" si="0"/>
        <v>0</v>
      </c>
    </row>
    <row r="11" spans="1:13" ht="15.75" thickBot="1" x14ac:dyDescent="0.3">
      <c r="A11" s="36" t="s">
        <v>1</v>
      </c>
      <c r="B11" s="164">
        <f>B3-B10</f>
        <v>0</v>
      </c>
      <c r="C11" s="164">
        <f t="shared" ref="C11:L11" si="1">C3-C10</f>
        <v>0</v>
      </c>
      <c r="D11" s="164">
        <f t="shared" si="1"/>
        <v>0</v>
      </c>
      <c r="E11" s="164">
        <f t="shared" si="1"/>
        <v>0</v>
      </c>
      <c r="F11" s="164">
        <f t="shared" si="1"/>
        <v>0</v>
      </c>
      <c r="G11" s="164">
        <f t="shared" si="1"/>
        <v>0</v>
      </c>
      <c r="H11" s="164">
        <f t="shared" si="1"/>
        <v>0</v>
      </c>
      <c r="I11" s="164">
        <f t="shared" si="1"/>
        <v>0</v>
      </c>
      <c r="J11" s="164">
        <f t="shared" si="1"/>
        <v>0</v>
      </c>
      <c r="K11" s="164">
        <f t="shared" si="1"/>
        <v>0</v>
      </c>
      <c r="L11" s="164">
        <f t="shared" si="1"/>
        <v>0</v>
      </c>
    </row>
    <row r="12" spans="1:13" ht="15.75" thickBot="1" x14ac:dyDescent="0.3">
      <c r="A12" s="38" t="s">
        <v>175</v>
      </c>
      <c r="B12" s="166">
        <v>0</v>
      </c>
      <c r="C12" s="167" t="s">
        <v>176</v>
      </c>
      <c r="D12" s="168">
        <v>0.01</v>
      </c>
      <c r="E12" s="167" t="s">
        <v>177</v>
      </c>
      <c r="F12" s="165">
        <v>1</v>
      </c>
      <c r="G12" s="165"/>
      <c r="H12" s="165"/>
      <c r="I12" s="165"/>
      <c r="J12" s="165"/>
      <c r="K12" s="165"/>
      <c r="L12" s="165"/>
    </row>
    <row r="13" spans="1:13" ht="15.75" thickBot="1" x14ac:dyDescent="0.3">
      <c r="A13" t="s">
        <v>77</v>
      </c>
      <c r="B13" s="2"/>
      <c r="C13" s="2"/>
      <c r="D13" s="2"/>
      <c r="E13" s="7"/>
      <c r="F13" s="7"/>
      <c r="I13" s="8"/>
    </row>
    <row r="14" spans="1:13" x14ac:dyDescent="0.25">
      <c r="A14" s="44" t="s">
        <v>78</v>
      </c>
      <c r="B14" s="158">
        <f>NPV(B13,$C$11:$L$11)+$B$11</f>
        <v>0</v>
      </c>
      <c r="C14" s="158">
        <f>NPV(C13,$C$11:$L$11)+$B$11</f>
        <v>0</v>
      </c>
      <c r="D14" s="159">
        <f>NPV(D13,$C$11:$L$11)+$B$11</f>
        <v>0</v>
      </c>
      <c r="E14" s="7"/>
      <c r="F14" s="7"/>
      <c r="I14" s="8"/>
    </row>
    <row r="15" spans="1:13" ht="16.5" thickBot="1" x14ac:dyDescent="0.3">
      <c r="A15" s="59" t="s">
        <v>2</v>
      </c>
      <c r="B15" s="60"/>
      <c r="C15" s="157"/>
      <c r="D15" s="61"/>
      <c r="E15" s="7"/>
      <c r="F15" s="7"/>
    </row>
    <row r="16" spans="1:13" x14ac:dyDescent="0.25">
      <c r="D16" s="7"/>
      <c r="E16" s="7"/>
      <c r="F16" s="7"/>
      <c r="G16" s="7"/>
      <c r="H16" s="7"/>
      <c r="I16" s="7"/>
      <c r="J16" s="7"/>
      <c r="K16" s="7"/>
      <c r="L16" s="7"/>
    </row>
  </sheetData>
  <customSheetViews>
    <customSheetView guid="{BEA796F3-A52F-431A-AFFF-913FC1A42D3C}" topLeftCell="A4">
      <selection activeCell="F21" sqref="F21"/>
      <pageMargins left="0.7" right="0.7" top="0.75" bottom="0.75" header="0.3" footer="0.3"/>
    </customSheetView>
  </customSheetViews>
  <dataValidations count="1">
    <dataValidation type="whole" operator="greaterThan" allowBlank="1" showInputMessage="1" showErrorMessage="1" sqref="B3">
      <formula1>0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activeCell="B7" sqref="B7"/>
    </sheetView>
  </sheetViews>
  <sheetFormatPr baseColWidth="10" defaultRowHeight="15" x14ac:dyDescent="0.25"/>
  <cols>
    <col min="2" max="2" width="13" bestFit="1" customWidth="1"/>
  </cols>
  <sheetData>
    <row r="1" spans="1:14" x14ac:dyDescent="0.25">
      <c r="A1" s="243">
        <v>0.03</v>
      </c>
      <c r="B1" t="s">
        <v>196</v>
      </c>
      <c r="C1" t="s">
        <v>197</v>
      </c>
      <c r="D1" t="s">
        <v>198</v>
      </c>
      <c r="E1" t="s">
        <v>199</v>
      </c>
      <c r="F1" t="s">
        <v>200</v>
      </c>
      <c r="G1" t="s">
        <v>201</v>
      </c>
      <c r="H1" t="s">
        <v>202</v>
      </c>
      <c r="I1" t="s">
        <v>203</v>
      </c>
      <c r="J1" t="s">
        <v>204</v>
      </c>
      <c r="K1" t="s">
        <v>205</v>
      </c>
      <c r="L1" t="s">
        <v>206</v>
      </c>
      <c r="M1" t="s">
        <v>207</v>
      </c>
      <c r="N1" t="s">
        <v>208</v>
      </c>
    </row>
    <row r="2" spans="1:14" x14ac:dyDescent="0.25">
      <c r="A2" t="s">
        <v>1</v>
      </c>
      <c r="B2" s="29">
        <v>-900000</v>
      </c>
      <c r="C2" s="29">
        <v>100000</v>
      </c>
      <c r="D2" s="29">
        <v>100000</v>
      </c>
      <c r="E2" s="29">
        <v>100000</v>
      </c>
      <c r="F2" s="29">
        <v>100000</v>
      </c>
      <c r="G2" s="29">
        <v>100000</v>
      </c>
      <c r="H2" s="29">
        <v>100000</v>
      </c>
      <c r="I2" s="29">
        <v>100000</v>
      </c>
      <c r="J2" s="29">
        <v>100000</v>
      </c>
      <c r="K2" s="29">
        <v>100000</v>
      </c>
      <c r="L2" s="29">
        <v>100000</v>
      </c>
      <c r="M2" s="29">
        <v>100000</v>
      </c>
      <c r="N2" s="29">
        <v>100000</v>
      </c>
    </row>
    <row r="3" spans="1:14" x14ac:dyDescent="0.25">
      <c r="A3" t="s">
        <v>209</v>
      </c>
      <c r="B3" s="244">
        <f>NPV(A1,C2:N2)+B2</f>
        <v>95400.399356756243</v>
      </c>
    </row>
    <row r="5" spans="1:14" x14ac:dyDescent="0.25">
      <c r="B5">
        <v>900000</v>
      </c>
      <c r="C5">
        <v>12</v>
      </c>
      <c r="D5">
        <v>0</v>
      </c>
    </row>
    <row r="6" spans="1:14" x14ac:dyDescent="0.25">
      <c r="A6" s="244">
        <f>SLN($B$5,$D$5,$C$5)</f>
        <v>75000</v>
      </c>
      <c r="B6" s="244">
        <f>SLN($B$5,$D$5,$C$5)+A6</f>
        <v>150000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workbookViewId="0">
      <selection activeCell="K4" sqref="K4"/>
    </sheetView>
  </sheetViews>
  <sheetFormatPr baseColWidth="10" defaultRowHeight="15" x14ac:dyDescent="0.25"/>
  <cols>
    <col min="1" max="1" width="7.28515625" customWidth="1"/>
    <col min="2" max="2" width="17.42578125" customWidth="1"/>
    <col min="3" max="3" width="16" customWidth="1"/>
    <col min="4" max="4" width="11.140625" customWidth="1"/>
    <col min="5" max="5" width="12.140625" customWidth="1"/>
    <col min="6" max="6" width="13.5703125" customWidth="1"/>
    <col min="7" max="7" width="9.140625" bestFit="1" customWidth="1"/>
    <col min="8" max="8" width="12.5703125" customWidth="1"/>
    <col min="9" max="9" width="11.7109375" customWidth="1"/>
    <col min="10" max="10" width="13" customWidth="1"/>
    <col min="11" max="11" width="12.140625" customWidth="1"/>
    <col min="12" max="12" width="15.42578125" customWidth="1"/>
    <col min="13" max="13" width="15.5703125" customWidth="1"/>
    <col min="14" max="15" width="13.7109375" customWidth="1"/>
  </cols>
  <sheetData>
    <row r="1" spans="1:18" ht="15.75" thickBot="1" x14ac:dyDescent="0.3">
      <c r="L1" s="147" t="s">
        <v>156</v>
      </c>
    </row>
    <row r="2" spans="1:18" ht="15.75" thickBot="1" x14ac:dyDescent="0.3">
      <c r="A2" s="44"/>
      <c r="B2" s="45"/>
      <c r="C2" s="45"/>
      <c r="D2" s="97"/>
      <c r="E2" s="98"/>
      <c r="F2" s="97"/>
      <c r="G2" s="99"/>
      <c r="H2" s="93" t="s">
        <v>112</v>
      </c>
      <c r="I2" s="92">
        <f ca="1">TODAY()</f>
        <v>41575</v>
      </c>
      <c r="J2" s="23"/>
      <c r="L2" s="147">
        <v>0.1</v>
      </c>
    </row>
    <row r="3" spans="1:18" ht="45.75" thickBot="1" x14ac:dyDescent="0.3">
      <c r="A3" s="46" t="s">
        <v>54</v>
      </c>
      <c r="B3" s="91" t="s">
        <v>50</v>
      </c>
      <c r="C3" s="95" t="s">
        <v>46</v>
      </c>
      <c r="D3" s="47" t="s">
        <v>51</v>
      </c>
      <c r="E3" s="96" t="s">
        <v>47</v>
      </c>
      <c r="F3" s="47" t="s">
        <v>48</v>
      </c>
      <c r="G3" s="47" t="s">
        <v>49</v>
      </c>
      <c r="H3" s="47" t="s">
        <v>113</v>
      </c>
      <c r="I3" s="48" t="s">
        <v>52</v>
      </c>
      <c r="J3" s="48" t="s">
        <v>83</v>
      </c>
      <c r="K3" s="114" t="s">
        <v>125</v>
      </c>
      <c r="L3" s="114" t="s">
        <v>155</v>
      </c>
      <c r="M3" s="47" t="s">
        <v>157</v>
      </c>
    </row>
    <row r="4" spans="1:18" ht="15.75" thickBot="1" x14ac:dyDescent="0.3">
      <c r="A4" s="39" t="s">
        <v>65</v>
      </c>
      <c r="B4" s="84"/>
      <c r="C4" s="94"/>
      <c r="D4" s="40">
        <v>41406</v>
      </c>
      <c r="E4" s="40">
        <v>42338</v>
      </c>
      <c r="F4" s="41" t="s">
        <v>181</v>
      </c>
      <c r="G4" s="42">
        <v>500</v>
      </c>
      <c r="H4" s="43">
        <v>45000000</v>
      </c>
      <c r="I4" s="39" t="s">
        <v>66</v>
      </c>
      <c r="J4" s="58">
        <v>300000000</v>
      </c>
      <c r="K4" s="58" t="s">
        <v>126</v>
      </c>
      <c r="L4" s="209">
        <v>5000000</v>
      </c>
      <c r="M4" s="160">
        <f>H4+L4+(H4+L4)*$L$2</f>
        <v>55000000</v>
      </c>
    </row>
    <row r="5" spans="1:18" ht="19.5" customHeight="1" thickBot="1" x14ac:dyDescent="0.3">
      <c r="A5" s="25" t="s">
        <v>67</v>
      </c>
      <c r="B5" s="84"/>
      <c r="C5" s="25"/>
      <c r="D5" s="28"/>
      <c r="E5" s="28"/>
      <c r="F5" s="24"/>
      <c r="G5" s="26">
        <v>500</v>
      </c>
      <c r="H5" s="27"/>
      <c r="I5" s="25"/>
      <c r="J5" s="58"/>
      <c r="K5" s="58"/>
      <c r="L5" s="58"/>
      <c r="M5" s="160">
        <f t="shared" ref="M5:M11" si="0">H5+L5+(H5+L5)*$L$2</f>
        <v>0</v>
      </c>
    </row>
    <row r="6" spans="1:18" ht="15.75" thickBot="1" x14ac:dyDescent="0.3">
      <c r="A6" s="25" t="s">
        <v>68</v>
      </c>
      <c r="B6" s="84"/>
      <c r="C6" s="25"/>
      <c r="D6" s="28"/>
      <c r="E6" s="28"/>
      <c r="F6" s="24"/>
      <c r="G6" s="26">
        <v>500</v>
      </c>
      <c r="H6" s="27"/>
      <c r="I6" s="25"/>
      <c r="J6" s="58"/>
      <c r="K6" s="58"/>
      <c r="L6" s="58"/>
      <c r="M6" s="160">
        <f t="shared" si="0"/>
        <v>0</v>
      </c>
    </row>
    <row r="7" spans="1:18" ht="15.75" thickBot="1" x14ac:dyDescent="0.3">
      <c r="A7" s="25" t="s">
        <v>111</v>
      </c>
      <c r="B7" s="84"/>
      <c r="C7" s="25"/>
      <c r="D7" s="40"/>
      <c r="E7" s="40"/>
      <c r="F7" s="24"/>
      <c r="G7" s="26">
        <v>800</v>
      </c>
      <c r="H7" s="27"/>
      <c r="I7" s="25"/>
      <c r="J7" s="58"/>
      <c r="K7" s="58"/>
      <c r="L7" s="58"/>
      <c r="M7" s="160">
        <f t="shared" si="0"/>
        <v>0</v>
      </c>
    </row>
    <row r="8" spans="1:18" ht="15.75" thickBot="1" x14ac:dyDescent="0.3">
      <c r="A8" s="25"/>
      <c r="B8" s="25"/>
      <c r="C8" s="25"/>
      <c r="D8" s="24"/>
      <c r="E8" s="24"/>
      <c r="F8" s="24"/>
      <c r="G8" s="26"/>
      <c r="H8" s="27"/>
      <c r="I8" s="25"/>
      <c r="J8" s="58"/>
      <c r="K8" s="58"/>
      <c r="L8" s="58"/>
      <c r="M8" s="160">
        <f t="shared" si="0"/>
        <v>0</v>
      </c>
    </row>
    <row r="9" spans="1:18" ht="15.75" thickBot="1" x14ac:dyDescent="0.3">
      <c r="A9" s="25"/>
      <c r="B9" s="25"/>
      <c r="C9" s="25"/>
      <c r="D9" s="24"/>
      <c r="E9" s="24"/>
      <c r="F9" s="24"/>
      <c r="G9" s="26"/>
      <c r="H9" s="27"/>
      <c r="I9" s="25"/>
      <c r="J9" s="58"/>
      <c r="K9" s="13"/>
      <c r="L9" s="58"/>
      <c r="M9" s="160">
        <f t="shared" si="0"/>
        <v>0</v>
      </c>
    </row>
    <row r="10" spans="1:18" ht="15.75" thickBot="1" x14ac:dyDescent="0.3">
      <c r="A10" s="102"/>
      <c r="B10" s="102"/>
      <c r="C10" s="102"/>
      <c r="D10" s="103"/>
      <c r="E10" s="103"/>
      <c r="F10" s="103"/>
      <c r="G10" s="104"/>
      <c r="H10" s="105"/>
      <c r="I10" s="102"/>
      <c r="J10" s="106"/>
      <c r="K10" s="115"/>
      <c r="L10" s="58"/>
      <c r="M10" s="160">
        <f t="shared" si="0"/>
        <v>0</v>
      </c>
    </row>
    <row r="11" spans="1:18" ht="15.75" thickBot="1" x14ac:dyDescent="0.3">
      <c r="A11" s="116"/>
      <c r="B11" s="116"/>
      <c r="C11" s="116"/>
      <c r="D11" s="117"/>
      <c r="E11" s="117"/>
      <c r="F11" s="117"/>
      <c r="G11" s="118"/>
      <c r="H11" s="119"/>
      <c r="I11" s="116"/>
      <c r="J11" s="120"/>
      <c r="K11" s="121"/>
      <c r="L11" s="161"/>
      <c r="M11" s="162">
        <f t="shared" si="0"/>
        <v>0</v>
      </c>
    </row>
    <row r="14" spans="1:18" x14ac:dyDescent="0.25">
      <c r="A14" s="107"/>
      <c r="B14" s="107"/>
      <c r="C14" s="107"/>
      <c r="D14" s="108"/>
      <c r="E14" s="108"/>
      <c r="F14" s="108"/>
      <c r="G14" s="109"/>
      <c r="H14" s="110"/>
      <c r="I14" s="107"/>
      <c r="J14" s="111"/>
      <c r="K14" s="112"/>
      <c r="P14" s="7"/>
      <c r="Q14" s="7"/>
      <c r="R14" s="7"/>
    </row>
    <row r="15" spans="1:18" x14ac:dyDescent="0.25">
      <c r="A15" s="107"/>
      <c r="B15" s="107"/>
      <c r="C15" s="107"/>
      <c r="D15" s="108"/>
      <c r="E15" s="108"/>
      <c r="F15" s="108"/>
      <c r="G15" s="109"/>
      <c r="H15" s="110"/>
      <c r="I15" s="107"/>
      <c r="J15" s="111"/>
      <c r="K15" s="113"/>
    </row>
    <row r="16" spans="1:18" x14ac:dyDescent="0.25">
      <c r="A16" s="107"/>
      <c r="B16" s="107"/>
      <c r="C16" s="107"/>
      <c r="D16" s="108"/>
      <c r="E16" s="108"/>
      <c r="F16" s="108"/>
      <c r="G16" s="109"/>
      <c r="H16" s="110"/>
      <c r="I16" s="107"/>
      <c r="J16" s="111"/>
      <c r="K16" s="113"/>
    </row>
    <row r="17" spans="1:11" x14ac:dyDescent="0.25">
      <c r="A17" s="107"/>
      <c r="B17" s="107"/>
      <c r="C17" s="107"/>
      <c r="D17" s="108"/>
      <c r="E17" s="108"/>
      <c r="F17" s="108"/>
      <c r="G17" s="109"/>
      <c r="H17" s="110"/>
      <c r="I17" s="107"/>
      <c r="J17" s="111"/>
      <c r="K17" s="113"/>
    </row>
    <row r="18" spans="1:11" x14ac:dyDescent="0.25">
      <c r="A18" s="107"/>
      <c r="B18" s="107"/>
      <c r="C18" s="107"/>
      <c r="D18" s="108"/>
      <c r="E18" s="108"/>
      <c r="F18" s="108"/>
      <c r="G18" s="109"/>
      <c r="H18" s="110"/>
      <c r="I18" s="107"/>
      <c r="J18" s="111"/>
      <c r="K18" s="113"/>
    </row>
    <row r="19" spans="1:11" x14ac:dyDescent="0.25">
      <c r="A19" s="107"/>
      <c r="B19" s="107"/>
      <c r="C19" s="107"/>
      <c r="D19" s="108"/>
      <c r="E19" s="108"/>
      <c r="F19" s="108"/>
      <c r="G19" s="109"/>
      <c r="H19" s="110"/>
      <c r="I19" s="107"/>
      <c r="J19" s="111"/>
      <c r="K19" s="113"/>
    </row>
    <row r="22" spans="1:11" x14ac:dyDescent="0.25">
      <c r="C22" s="7"/>
      <c r="D22" s="7"/>
      <c r="E22" s="7"/>
      <c r="F22" s="7"/>
      <c r="G22" s="7"/>
    </row>
    <row r="23" spans="1:11" x14ac:dyDescent="0.25">
      <c r="D23" s="7"/>
      <c r="E23" s="7"/>
      <c r="F23" s="7"/>
      <c r="G23" s="7"/>
    </row>
    <row r="24" spans="1:11" x14ac:dyDescent="0.25">
      <c r="C24" s="7"/>
      <c r="G24" s="7"/>
      <c r="H24" s="7"/>
      <c r="I24" s="7"/>
    </row>
    <row r="25" spans="1:11" x14ac:dyDescent="0.25">
      <c r="C25" s="7"/>
      <c r="D25" s="7"/>
      <c r="E25" s="7"/>
      <c r="F25" s="7"/>
      <c r="G25" s="7"/>
    </row>
    <row r="26" spans="1:11" x14ac:dyDescent="0.25">
      <c r="C26" s="7"/>
      <c r="D26" s="7"/>
      <c r="E26" s="7"/>
      <c r="F26" s="7"/>
      <c r="G26" s="7"/>
    </row>
    <row r="27" spans="1:11" x14ac:dyDescent="0.25">
      <c r="C27" s="2"/>
      <c r="D27" s="7"/>
      <c r="E27" s="7"/>
      <c r="F27" s="7"/>
      <c r="G27" s="7"/>
    </row>
    <row r="28" spans="1:11" x14ac:dyDescent="0.25">
      <c r="C28" s="7"/>
      <c r="D28" s="7"/>
      <c r="E28" s="7"/>
      <c r="F28" s="7"/>
      <c r="G28" s="7"/>
    </row>
    <row r="29" spans="1:11" x14ac:dyDescent="0.25">
      <c r="C29" s="7"/>
      <c r="D29" s="7"/>
      <c r="E29" s="7"/>
      <c r="F29" s="7"/>
      <c r="G29" s="7"/>
    </row>
    <row r="33" spans="3:4" x14ac:dyDescent="0.25">
      <c r="C33" s="7"/>
      <c r="D33" s="7"/>
    </row>
    <row r="34" spans="3:4" x14ac:dyDescent="0.25">
      <c r="C34" s="7"/>
      <c r="D34" s="7"/>
    </row>
    <row r="35" spans="3:4" x14ac:dyDescent="0.25">
      <c r="C35" s="7"/>
      <c r="D35" s="7"/>
    </row>
    <row r="36" spans="3:4" x14ac:dyDescent="0.25">
      <c r="C36" s="7"/>
      <c r="D36" s="7"/>
    </row>
    <row r="37" spans="3:4" x14ac:dyDescent="0.25">
      <c r="C37" s="7"/>
      <c r="D37" s="7"/>
    </row>
  </sheetData>
  <customSheetViews>
    <customSheetView guid="{BEA796F3-A52F-431A-AFFF-913FC1A42D3C}">
      <selection activeCell="K4" sqref="K4"/>
      <pageMargins left="0.7" right="0.7" top="0.75" bottom="0.75" header="0.3" footer="0.3"/>
      <pageSetup orientation="portrait" r:id="rId1"/>
    </customSheetView>
  </customSheetViews>
  <dataValidations count="12">
    <dataValidation type="textLength" allowBlank="1" showInputMessage="1" showErrorMessage="1" promptTitle="Nombre del proyecto" sqref="E2">
      <formula1>10</formula1>
      <formula2>25</formula2>
    </dataValidation>
    <dataValidation type="textLength" allowBlank="1" showInputMessage="1" showErrorMessage="1" sqref="B4:C4 B5:B7">
      <formula1>15</formula1>
      <formula2>25</formula2>
    </dataValidation>
    <dataValidation type="list" allowBlank="1" showInputMessage="1" showErrorMessage="1" prompt="Solo 3 status posibles" sqref="K4:K8">
      <formula1>$L$4:$L$6</formula1>
    </dataValidation>
    <dataValidation type="whole" allowBlank="1" showInputMessage="1" showErrorMessage="1" error="El valor minimo es 100 y el max. 1000" prompt="Indique la prioridad como un numero entre 100 y 1000." sqref="G4:G11 G18:G19">
      <formula1>100</formula1>
      <formula2>1000</formula2>
    </dataValidation>
    <dataValidation type="date" allowBlank="1" showInputMessage="1" showErrorMessage="1" sqref="D4:D11 D18:D19">
      <formula1>40544</formula1>
      <formula2>41639</formula2>
    </dataValidation>
    <dataValidation type="list" allowBlank="1" showInputMessage="1" showErrorMessage="1" prompt="Solo indique si o no." sqref="I8:I11 I18:I19">
      <formula1>$J$8:$J$9</formula1>
    </dataValidation>
    <dataValidation type="textLength" operator="equal" allowBlank="1" showInputMessage="1" showErrorMessage="1" prompt="El codigo tiene que tener 5 caracteres" sqref="B8:B11 A4:A11 A18:B19">
      <formula1>5</formula1>
    </dataValidation>
    <dataValidation type="decimal" allowBlank="1" showInputMessage="1" showErrorMessage="1" prompt="Si el proyecto no necesita financiacion externa, indique el monto de fondos propios disponibles" sqref="J18:J19">
      <formula1>100</formula1>
      <formula2>12500000</formula2>
    </dataValidation>
    <dataValidation type="list" allowBlank="1" showInputMessage="1" showErrorMessage="1" sqref="K9:K11">
      <formula1>$L$4:$L$6</formula1>
    </dataValidation>
    <dataValidation type="whole" allowBlank="1" showInputMessage="1" showErrorMessage="1" sqref="J4:J11">
      <formula1>1000000</formula1>
      <formula2>450000000</formula2>
    </dataValidation>
    <dataValidation type="whole" allowBlank="1" showInputMessage="1" showErrorMessage="1" prompt="El monto de las reservas x contingencias no puede ser &lt; de $1 millon y &gt; del 50% del requerido" sqref="L5:L11">
      <formula1>1000000</formula1>
      <formula2>H5*0.5</formula2>
    </dataValidation>
    <dataValidation type="whole" allowBlank="1" showInputMessage="1" showErrorMessage="1" prompt="El monto de las reservas x contingencias no puede ser &lt; del 10% del requerido y &gt; del 30% del requerido" sqref="L4">
      <formula1>H4*0.05</formula1>
      <formula2>H4*0.5</formula2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olo indique si o no.">
          <x14:formula1>
            <xm:f>Tablas!$E$2:$E$3</xm:f>
          </x14:formula1>
          <xm:sqref>I5:I7</xm:sqref>
        </x14:dataValidation>
        <x14:dataValidation type="list" allowBlank="1" showInputMessage="1" showErrorMessage="1" error="Solo se puede seleccionar Si o No" prompt="Solo indique si o no.">
          <x14:formula1>
            <xm:f>Tablas!$E$2:$E$3</xm:f>
          </x14:formula1>
          <xm:sqref>I4</xm:sqref>
        </x14:dataValidation>
        <x14:dataValidation type="list" allowBlank="1" showInputMessage="1" showErrorMessage="1" prompt="Coloque uno de los planes empresariales">
          <x14:formula1>
            <xm:f>Tablas!$A$2:$A$7</xm:f>
          </x14:formula1>
          <xm:sqref>F4:F9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C5" sqref="C5"/>
    </sheetView>
  </sheetViews>
  <sheetFormatPr baseColWidth="10" defaultRowHeight="15" x14ac:dyDescent="0.25"/>
  <cols>
    <col min="1" max="1" width="26.85546875" customWidth="1"/>
    <col min="2" max="2" width="11.5703125" customWidth="1"/>
    <col min="3" max="3" width="14.5703125" customWidth="1"/>
    <col min="4" max="4" width="16.28515625" customWidth="1"/>
    <col min="5" max="5" width="12.7109375" customWidth="1"/>
    <col min="6" max="6" width="12" customWidth="1"/>
    <col min="7" max="7" width="15" customWidth="1"/>
  </cols>
  <sheetData>
    <row r="1" spans="1:7" x14ac:dyDescent="0.25">
      <c r="A1" t="s">
        <v>128</v>
      </c>
      <c r="B1" s="63" t="s">
        <v>86</v>
      </c>
      <c r="C1" s="64" t="s">
        <v>90</v>
      </c>
    </row>
    <row r="2" spans="1:7" ht="15.75" thickBot="1" x14ac:dyDescent="0.3">
      <c r="A2" s="62"/>
      <c r="C2" s="192">
        <v>1900</v>
      </c>
      <c r="D2" s="62"/>
      <c r="E2" s="62"/>
      <c r="F2" s="62"/>
      <c r="G2" s="62"/>
    </row>
    <row r="3" spans="1:7" ht="15.75" thickBot="1" x14ac:dyDescent="0.3">
      <c r="A3" s="65" t="s">
        <v>85</v>
      </c>
      <c r="B3" s="66"/>
      <c r="D3" s="203" t="s">
        <v>183</v>
      </c>
      <c r="E3" s="202"/>
      <c r="F3" s="62"/>
      <c r="G3" s="62"/>
    </row>
    <row r="4" spans="1:7" ht="26.25" thickBot="1" x14ac:dyDescent="0.3">
      <c r="A4" s="67" t="s">
        <v>89</v>
      </c>
      <c r="B4" s="68" t="s">
        <v>87</v>
      </c>
      <c r="C4" s="193" t="s">
        <v>88</v>
      </c>
      <c r="D4" s="203" t="s">
        <v>94</v>
      </c>
      <c r="E4" s="202"/>
      <c r="F4" s="62"/>
      <c r="G4" s="62"/>
    </row>
    <row r="5" spans="1:7" ht="26.25" thickBot="1" x14ac:dyDescent="0.3">
      <c r="A5" s="70" t="s">
        <v>96</v>
      </c>
      <c r="B5" s="69"/>
      <c r="C5" s="74">
        <f>B5*$B$2</f>
        <v>0</v>
      </c>
      <c r="D5" s="203" t="s">
        <v>8</v>
      </c>
      <c r="E5" s="202"/>
      <c r="F5" s="62"/>
      <c r="G5" s="62"/>
    </row>
    <row r="6" spans="1:7" ht="23.25" customHeight="1" thickBot="1" x14ac:dyDescent="0.3">
      <c r="A6" s="70" t="s">
        <v>97</v>
      </c>
      <c r="B6" s="69"/>
      <c r="C6" s="74">
        <f t="shared" ref="C6:C9" si="0">B6*$B$5</f>
        <v>0</v>
      </c>
      <c r="D6" s="203" t="s">
        <v>95</v>
      </c>
      <c r="E6" s="202"/>
      <c r="F6" s="62"/>
      <c r="G6" s="62"/>
    </row>
    <row r="7" spans="1:7" ht="39" thickBot="1" x14ac:dyDescent="0.3">
      <c r="A7" s="70" t="s">
        <v>98</v>
      </c>
      <c r="B7" s="69"/>
      <c r="C7" s="74">
        <f t="shared" si="0"/>
        <v>0</v>
      </c>
      <c r="D7" s="203" t="s">
        <v>185</v>
      </c>
      <c r="E7" s="196"/>
      <c r="F7" s="62"/>
      <c r="G7" s="62"/>
    </row>
    <row r="8" spans="1:7" ht="26.25" thickBot="1" x14ac:dyDescent="0.3">
      <c r="A8" s="70" t="s">
        <v>99</v>
      </c>
      <c r="B8" s="69"/>
      <c r="C8" s="74">
        <f t="shared" si="0"/>
        <v>0</v>
      </c>
      <c r="D8" s="204" t="s">
        <v>92</v>
      </c>
      <c r="E8" s="202"/>
      <c r="F8" s="62"/>
      <c r="G8" s="62"/>
    </row>
    <row r="9" spans="1:7" ht="26.25" thickBot="1" x14ac:dyDescent="0.3">
      <c r="A9" s="70" t="s">
        <v>100</v>
      </c>
      <c r="B9" s="72"/>
      <c r="C9" s="194">
        <f t="shared" si="0"/>
        <v>0</v>
      </c>
      <c r="D9" s="195" t="s">
        <v>93</v>
      </c>
      <c r="E9" s="199"/>
      <c r="F9" s="62"/>
      <c r="G9" s="62"/>
    </row>
    <row r="10" spans="1:7" ht="15.75" thickBot="1" x14ac:dyDescent="0.3">
      <c r="A10" s="70" t="s">
        <v>101</v>
      </c>
      <c r="B10" s="72"/>
      <c r="C10" s="194"/>
      <c r="D10" s="195" t="s">
        <v>7</v>
      </c>
      <c r="E10" s="200"/>
      <c r="F10" s="62"/>
      <c r="G10" s="62"/>
    </row>
    <row r="11" spans="1:7" ht="26.25" thickBot="1" x14ac:dyDescent="0.3">
      <c r="A11" s="70" t="s">
        <v>102</v>
      </c>
      <c r="B11" s="69"/>
      <c r="C11" s="74">
        <f>C5*0.1</f>
        <v>0</v>
      </c>
      <c r="D11" s="198" t="s">
        <v>184</v>
      </c>
      <c r="E11" s="197"/>
      <c r="F11" s="62"/>
      <c r="G11" s="62"/>
    </row>
    <row r="12" spans="1:7" ht="26.25" thickBot="1" x14ac:dyDescent="0.3">
      <c r="A12" s="70" t="s">
        <v>103</v>
      </c>
      <c r="B12" s="69"/>
      <c r="C12" s="71"/>
      <c r="D12" s="75"/>
      <c r="E12" s="62"/>
      <c r="F12" s="62"/>
      <c r="G12" s="62"/>
    </row>
    <row r="13" spans="1:7" ht="15.75" thickBot="1" x14ac:dyDescent="0.3">
      <c r="A13" s="70" t="s">
        <v>104</v>
      </c>
      <c r="B13" s="69"/>
      <c r="C13" s="71">
        <f>C5*0.16</f>
        <v>0</v>
      </c>
      <c r="D13" s="75"/>
      <c r="E13" s="62"/>
      <c r="F13" s="62"/>
      <c r="G13" s="62"/>
    </row>
    <row r="14" spans="1:7" ht="64.5" thickBot="1" x14ac:dyDescent="0.3">
      <c r="A14" s="70" t="s">
        <v>105</v>
      </c>
      <c r="B14" s="69"/>
      <c r="C14" s="71"/>
      <c r="D14" s="75"/>
      <c r="E14" s="62"/>
      <c r="F14" s="62"/>
      <c r="G14" s="62"/>
    </row>
    <row r="15" spans="1:7" ht="15.75" thickBot="1" x14ac:dyDescent="0.3">
      <c r="A15" s="70" t="s">
        <v>106</v>
      </c>
      <c r="B15" s="72"/>
      <c r="C15" s="73">
        <v>0</v>
      </c>
      <c r="D15" s="75"/>
      <c r="E15" s="62"/>
      <c r="F15" s="62"/>
      <c r="G15" s="62"/>
    </row>
    <row r="16" spans="1:7" ht="15.75" thickBot="1" x14ac:dyDescent="0.3">
      <c r="A16" s="76" t="s">
        <v>91</v>
      </c>
      <c r="B16" s="72"/>
      <c r="C16" s="77">
        <f>SUM(C5:C15)</f>
        <v>0</v>
      </c>
      <c r="D16" s="75"/>
      <c r="E16" s="62"/>
      <c r="F16" s="62"/>
      <c r="G16" s="62"/>
    </row>
    <row r="17" spans="1:7" x14ac:dyDescent="0.25">
      <c r="A17" s="62"/>
      <c r="B17" s="62"/>
      <c r="C17" s="62"/>
      <c r="D17" s="62"/>
      <c r="E17" s="62"/>
      <c r="F17" s="62"/>
      <c r="G17" s="62"/>
    </row>
    <row r="18" spans="1:7" ht="48" customHeight="1" x14ac:dyDescent="0.25">
      <c r="A18" s="64" t="s">
        <v>4</v>
      </c>
      <c r="B18" s="81"/>
      <c r="C18" s="81" t="s">
        <v>80</v>
      </c>
      <c r="D18" s="81" t="s">
        <v>5</v>
      </c>
      <c r="E18" s="81" t="s">
        <v>6</v>
      </c>
      <c r="F18" s="82" t="s">
        <v>3</v>
      </c>
      <c r="G18" s="83" t="s">
        <v>107</v>
      </c>
    </row>
    <row r="19" spans="1:7" x14ac:dyDescent="0.25">
      <c r="A19" s="201" t="s">
        <v>108</v>
      </c>
      <c r="B19" s="9"/>
      <c r="C19" s="78"/>
      <c r="D19" s="78"/>
      <c r="E19" s="78"/>
      <c r="F19" s="78"/>
      <c r="G19" s="78"/>
    </row>
    <row r="20" spans="1:7" x14ac:dyDescent="0.25">
      <c r="A20" s="201" t="s">
        <v>109</v>
      </c>
      <c r="B20" s="9"/>
      <c r="C20" s="78"/>
      <c r="D20" s="78"/>
      <c r="E20" s="78"/>
      <c r="F20" s="78"/>
      <c r="G20" s="78"/>
    </row>
    <row r="21" spans="1:7" x14ac:dyDescent="0.25">
      <c r="A21" s="201" t="s">
        <v>110</v>
      </c>
      <c r="B21" s="9"/>
      <c r="C21" s="78"/>
      <c r="D21" s="78"/>
      <c r="E21" s="78"/>
      <c r="F21" s="78"/>
      <c r="G21" s="78"/>
    </row>
    <row r="23" spans="1:7" x14ac:dyDescent="0.25">
      <c r="B23" s="113"/>
    </row>
    <row r="24" spans="1:7" x14ac:dyDescent="0.25">
      <c r="B24" s="113"/>
    </row>
    <row r="25" spans="1:7" x14ac:dyDescent="0.25">
      <c r="B25" s="113"/>
    </row>
    <row r="26" spans="1:7" x14ac:dyDescent="0.25">
      <c r="B26" s="113"/>
    </row>
  </sheetData>
  <customSheetViews>
    <customSheetView guid="{BEA796F3-A52F-431A-AFFF-913FC1A42D3C}">
      <selection activeCell="C5" sqref="C5"/>
      <pageMargins left="0.7" right="0.7" top="0.75" bottom="0.75" header="0.3" footer="0.3"/>
    </customSheetView>
  </customSheetViews>
  <dataValidations count="1">
    <dataValidation type="list" allowBlank="1" showInputMessage="1" showErrorMessage="1" error="Oh, oh. Escoja uno de los valores listados" prompt="Indique uno de los valores de la lista" sqref="A19:A21">
      <formula1>$B$23:$B$26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F4" sqref="F4"/>
    </sheetView>
  </sheetViews>
  <sheetFormatPr baseColWidth="10" defaultRowHeight="15" x14ac:dyDescent="0.25"/>
  <cols>
    <col min="1" max="1" width="8" customWidth="1"/>
    <col min="2" max="2" width="21.28515625" customWidth="1"/>
    <col min="3" max="3" width="9" customWidth="1"/>
    <col min="4" max="4" width="14.85546875" customWidth="1"/>
    <col min="5" max="5" width="11.5703125" customWidth="1"/>
    <col min="7" max="7" width="11.140625" customWidth="1"/>
    <col min="8" max="8" width="12.140625" customWidth="1"/>
    <col min="9" max="9" width="9" customWidth="1"/>
  </cols>
  <sheetData>
    <row r="1" spans="1:8" ht="16.5" thickBot="1" x14ac:dyDescent="0.3">
      <c r="B1" s="32" t="s">
        <v>128</v>
      </c>
      <c r="C1" s="49" t="s">
        <v>82</v>
      </c>
      <c r="F1" s="141">
        <v>0.05</v>
      </c>
      <c r="G1" s="141">
        <v>7.0000000000000007E-2</v>
      </c>
      <c r="H1" s="146">
        <v>0</v>
      </c>
    </row>
    <row r="2" spans="1:8" ht="30" customHeight="1" thickBot="1" x14ac:dyDescent="0.3">
      <c r="A2" s="11" t="s">
        <v>9</v>
      </c>
      <c r="B2" s="12" t="s">
        <v>0</v>
      </c>
      <c r="C2" s="131" t="s">
        <v>195</v>
      </c>
      <c r="D2" s="132" t="s">
        <v>192</v>
      </c>
      <c r="E2" s="138" t="s">
        <v>10</v>
      </c>
      <c r="F2" s="132" t="s">
        <v>144</v>
      </c>
      <c r="G2" s="140" t="s">
        <v>145</v>
      </c>
      <c r="H2" s="9"/>
    </row>
    <row r="3" spans="1:8" x14ac:dyDescent="0.25">
      <c r="A3" s="13"/>
      <c r="B3" s="245"/>
      <c r="C3" s="261"/>
      <c r="D3" s="133"/>
      <c r="E3" s="139">
        <f>+((D3+F3)*$H$2)/20</f>
        <v>0</v>
      </c>
      <c r="F3" s="15">
        <v>0</v>
      </c>
      <c r="G3" s="137"/>
    </row>
    <row r="4" spans="1:8" x14ac:dyDescent="0.25">
      <c r="A4" s="13"/>
      <c r="B4" s="10"/>
      <c r="C4" s="261"/>
      <c r="D4" s="133"/>
      <c r="E4" s="139"/>
      <c r="F4" s="15">
        <f>IF(D4&lt;700000,D4*$F$1,IF(D4&lt;1000000,D4*$G$1,0))</f>
        <v>0</v>
      </c>
      <c r="G4" s="137"/>
    </row>
    <row r="5" spans="1:8" x14ac:dyDescent="0.25">
      <c r="A5" s="13"/>
      <c r="B5" s="10"/>
      <c r="C5" s="261"/>
      <c r="D5" s="133"/>
      <c r="E5" s="139"/>
      <c r="F5" s="15"/>
      <c r="G5" s="137"/>
    </row>
    <row r="6" spans="1:8" x14ac:dyDescent="0.25">
      <c r="A6" s="13"/>
      <c r="B6" s="10"/>
      <c r="C6" s="261"/>
      <c r="D6" s="133"/>
      <c r="E6" s="139"/>
      <c r="F6" s="15"/>
      <c r="G6" s="137"/>
    </row>
    <row r="7" spans="1:8" x14ac:dyDescent="0.25">
      <c r="A7" s="14"/>
      <c r="B7" s="10"/>
      <c r="C7" s="261"/>
      <c r="D7" s="133"/>
      <c r="E7" s="139"/>
      <c r="F7" s="15"/>
      <c r="G7" s="137"/>
    </row>
    <row r="8" spans="1:8" x14ac:dyDescent="0.25">
      <c r="A8" s="13"/>
      <c r="B8" s="10"/>
      <c r="C8" s="262"/>
      <c r="D8" s="133"/>
      <c r="E8" s="139"/>
      <c r="F8" s="15"/>
      <c r="G8" s="137"/>
    </row>
    <row r="9" spans="1:8" x14ac:dyDescent="0.25">
      <c r="A9" s="213" t="s">
        <v>11</v>
      </c>
      <c r="B9" s="10"/>
      <c r="C9" s="262"/>
      <c r="D9" s="215"/>
      <c r="E9" s="139"/>
      <c r="F9" s="15"/>
      <c r="G9" s="137"/>
    </row>
    <row r="10" spans="1:8" x14ac:dyDescent="0.25">
      <c r="A10" s="213" t="s">
        <v>12</v>
      </c>
      <c r="B10" s="10"/>
      <c r="C10" s="262"/>
      <c r="D10" s="215"/>
      <c r="E10" s="139"/>
      <c r="F10" s="15"/>
      <c r="G10" s="137"/>
    </row>
    <row r="11" spans="1:8" x14ac:dyDescent="0.25">
      <c r="A11" s="246" t="s">
        <v>13</v>
      </c>
      <c r="B11" s="247"/>
      <c r="C11" s="248"/>
      <c r="D11" s="249"/>
      <c r="E11" s="250"/>
      <c r="F11" s="251"/>
      <c r="G11" s="137"/>
    </row>
    <row r="12" spans="1:8" x14ac:dyDescent="0.25">
      <c r="A12" s="246" t="s">
        <v>14</v>
      </c>
      <c r="B12" s="247"/>
      <c r="C12" s="248"/>
      <c r="D12" s="249"/>
      <c r="E12" s="250"/>
      <c r="F12" s="251"/>
      <c r="G12" s="137"/>
    </row>
    <row r="13" spans="1:8" x14ac:dyDescent="0.25">
      <c r="A13" s="246" t="s">
        <v>15</v>
      </c>
      <c r="B13" s="247"/>
      <c r="C13" s="248"/>
      <c r="D13" s="249"/>
      <c r="E13" s="250"/>
      <c r="F13" s="251"/>
      <c r="G13" s="137"/>
    </row>
    <row r="14" spans="1:8" x14ac:dyDescent="0.25">
      <c r="A14" s="246" t="s">
        <v>12</v>
      </c>
      <c r="B14" s="247"/>
      <c r="C14" s="248"/>
      <c r="D14" s="249"/>
      <c r="E14" s="250"/>
      <c r="F14" s="251"/>
      <c r="G14" s="137"/>
    </row>
    <row r="15" spans="1:8" x14ac:dyDescent="0.25">
      <c r="A15" s="252" t="s">
        <v>16</v>
      </c>
      <c r="B15" s="247"/>
      <c r="C15" s="253"/>
      <c r="D15" s="249"/>
      <c r="E15" s="250"/>
      <c r="F15" s="251"/>
      <c r="G15" s="137"/>
    </row>
    <row r="16" spans="1:8" x14ac:dyDescent="0.25">
      <c r="A16" s="252" t="s">
        <v>17</v>
      </c>
      <c r="B16" s="247"/>
      <c r="C16" s="253"/>
      <c r="D16" s="249"/>
      <c r="E16" s="250"/>
      <c r="F16" s="251"/>
      <c r="G16" s="137"/>
    </row>
    <row r="18" spans="2:2" x14ac:dyDescent="0.25">
      <c r="B18" s="8"/>
    </row>
  </sheetData>
  <customSheetViews>
    <customSheetView guid="{BEA796F3-A52F-431A-AFFF-913FC1A42D3C}">
      <selection activeCell="F8" sqref="F8"/>
      <pageMargins left="0.7" right="0.7" top="0.75" bottom="0.75" header="0.3" footer="0.3"/>
      <pageSetup orientation="portrait" r:id="rId1"/>
    </customSheetView>
  </customSheetViews>
  <dataValidations count="2">
    <dataValidation type="textLength" allowBlank="1" showInputMessage="1" showErrorMessage="1" prompt="ESTE CODIGO DEBE TENER MINIMO 3 NUMEROS Y MAXIMO 4" sqref="A3:A16">
      <formula1>3</formula1>
      <formula2>4</formula2>
    </dataValidation>
    <dataValidation type="whole" allowBlank="1" showInputMessage="1" showErrorMessage="1" error="DEBE SER MINIMO1 Y MAXIMO 8" prompt="NUMEROS ENTEROS MINIMO 1 MAXIMO 8" sqref="C3:C16">
      <formula1>1</formula1>
      <formula2>8</formula2>
    </dataValidation>
  </dataValidations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E11" sqref="E11"/>
    </sheetView>
  </sheetViews>
  <sheetFormatPr baseColWidth="10" defaultRowHeight="15" x14ac:dyDescent="0.25"/>
  <cols>
    <col min="1" max="1" width="8" customWidth="1"/>
    <col min="2" max="2" width="15.5703125" customWidth="1"/>
    <col min="3" max="4" width="15.42578125" customWidth="1"/>
    <col min="5" max="5" width="15" customWidth="1"/>
  </cols>
  <sheetData>
    <row r="1" spans="1:5" ht="15.75" x14ac:dyDescent="0.25">
      <c r="B1" s="207" t="s">
        <v>128</v>
      </c>
      <c r="C1" s="206"/>
      <c r="D1" s="206" t="s">
        <v>112</v>
      </c>
      <c r="E1" s="18">
        <f ca="1">TODAY()</f>
        <v>41575</v>
      </c>
    </row>
    <row r="2" spans="1:5" ht="45" x14ac:dyDescent="0.25">
      <c r="A2" s="17" t="s">
        <v>9</v>
      </c>
      <c r="B2" s="17" t="s">
        <v>0</v>
      </c>
      <c r="C2" s="134" t="s">
        <v>135</v>
      </c>
      <c r="D2" s="134" t="s">
        <v>136</v>
      </c>
      <c r="E2" s="130" t="s">
        <v>137</v>
      </c>
    </row>
    <row r="3" spans="1:5" x14ac:dyDescent="0.25">
      <c r="A3" s="9">
        <v>1</v>
      </c>
      <c r="B3" s="9"/>
      <c r="C3" s="275">
        <f>SUMIF(CostoxDepto!$B$3:$B$10,$B$3:$B$10,CostoxDepto!$E$3:$E$10)</f>
        <v>0</v>
      </c>
      <c r="D3" s="276"/>
      <c r="E3" s="276"/>
    </row>
    <row r="4" spans="1:5" x14ac:dyDescent="0.25">
      <c r="A4" s="9">
        <v>2</v>
      </c>
      <c r="B4" s="9"/>
      <c r="C4" s="276"/>
      <c r="D4" s="276"/>
      <c r="E4" s="276"/>
    </row>
    <row r="5" spans="1:5" x14ac:dyDescent="0.25">
      <c r="A5" s="9">
        <v>3</v>
      </c>
      <c r="B5" s="9"/>
      <c r="C5" s="276"/>
      <c r="D5" s="276"/>
      <c r="E5" s="276"/>
    </row>
    <row r="6" spans="1:5" x14ac:dyDescent="0.25">
      <c r="A6" s="9">
        <v>4</v>
      </c>
      <c r="B6" s="9"/>
      <c r="C6" s="276"/>
      <c r="D6" s="276"/>
      <c r="E6" s="276"/>
    </row>
    <row r="7" spans="1:5" x14ac:dyDescent="0.25">
      <c r="A7" s="9">
        <v>5</v>
      </c>
      <c r="B7" s="9"/>
      <c r="C7" s="276"/>
      <c r="D7" s="276"/>
      <c r="E7" s="276"/>
    </row>
    <row r="8" spans="1:5" x14ac:dyDescent="0.25">
      <c r="A8" s="9">
        <v>6</v>
      </c>
      <c r="B8" s="9"/>
      <c r="C8" s="276"/>
      <c r="D8" s="276"/>
      <c r="E8" s="276"/>
    </row>
    <row r="9" spans="1:5" x14ac:dyDescent="0.25">
      <c r="A9" s="9">
        <v>7</v>
      </c>
      <c r="B9" s="9"/>
      <c r="C9" s="276"/>
      <c r="D9" s="276"/>
      <c r="E9" s="276"/>
    </row>
    <row r="10" spans="1:5" ht="15.75" thickBot="1" x14ac:dyDescent="0.3">
      <c r="A10" s="9">
        <v>8</v>
      </c>
      <c r="B10" s="79"/>
      <c r="C10" s="276"/>
      <c r="D10" s="276"/>
      <c r="E10" s="276"/>
    </row>
    <row r="11" spans="1:5" ht="15.75" thickBot="1" x14ac:dyDescent="0.3">
      <c r="B11" s="128" t="s">
        <v>55</v>
      </c>
      <c r="C11" s="277"/>
      <c r="D11" s="276"/>
      <c r="E11" s="276"/>
    </row>
  </sheetData>
  <customSheetViews>
    <customSheetView guid="{BEA796F3-A52F-431A-AFFF-913FC1A42D3C}">
      <selection activeCell="D3" sqref="D3"/>
      <pageMargins left="0.7" right="0.7" top="0.75" bottom="0.75" header="0.3" footer="0.3"/>
    </customSheetView>
  </customSheetView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0"/>
  <sheetViews>
    <sheetView workbookViewId="0">
      <selection activeCell="A3" sqref="A3:D40"/>
    </sheetView>
  </sheetViews>
  <sheetFormatPr baseColWidth="10" defaultRowHeight="15" x14ac:dyDescent="0.25"/>
  <cols>
    <col min="1" max="1" width="18" bestFit="1" customWidth="1"/>
    <col min="2" max="2" width="12.85546875" customWidth="1"/>
    <col min="3" max="3" width="12.42578125" customWidth="1"/>
    <col min="4" max="4" width="15.7109375" customWidth="1"/>
  </cols>
  <sheetData>
    <row r="3" spans="1:4" ht="15.75" thickBot="1" x14ac:dyDescent="0.3">
      <c r="A3" s="20" t="s">
        <v>32</v>
      </c>
      <c r="B3" t="s">
        <v>187</v>
      </c>
      <c r="C3" t="s">
        <v>188</v>
      </c>
      <c r="D3" s="231" t="s">
        <v>189</v>
      </c>
    </row>
    <row r="4" spans="1:4" ht="15.75" thickBot="1" x14ac:dyDescent="0.3">
      <c r="A4" s="221" t="s">
        <v>130</v>
      </c>
      <c r="B4" s="230">
        <v>265620100</v>
      </c>
      <c r="C4" s="230">
        <v>248023000</v>
      </c>
      <c r="D4" s="232">
        <f>SUM(D5:D12)</f>
        <v>0</v>
      </c>
    </row>
    <row r="5" spans="1:4" x14ac:dyDescent="0.25">
      <c r="A5" s="22" t="s">
        <v>24</v>
      </c>
      <c r="B5" s="6">
        <v>40185000</v>
      </c>
      <c r="C5" s="6">
        <v>22325000</v>
      </c>
      <c r="D5" s="6">
        <f>Departamentos!E3</f>
        <v>0</v>
      </c>
    </row>
    <row r="6" spans="1:4" x14ac:dyDescent="0.25">
      <c r="A6" s="22" t="s">
        <v>21</v>
      </c>
      <c r="B6" s="6">
        <v>37412000</v>
      </c>
      <c r="C6" s="6">
        <v>39800000</v>
      </c>
      <c r="D6" s="6">
        <f>Departamentos!E4</f>
        <v>0</v>
      </c>
    </row>
    <row r="7" spans="1:4" x14ac:dyDescent="0.25">
      <c r="A7" s="22" t="s">
        <v>154</v>
      </c>
      <c r="B7" s="6">
        <v>52183500</v>
      </c>
      <c r="C7" s="6">
        <v>34789000</v>
      </c>
      <c r="D7" s="6">
        <f>Departamentos!E5</f>
        <v>0</v>
      </c>
    </row>
    <row r="8" spans="1:4" x14ac:dyDescent="0.25">
      <c r="A8" s="22" t="s">
        <v>20</v>
      </c>
      <c r="B8" s="6">
        <v>69480000</v>
      </c>
      <c r="C8" s="6">
        <v>57900000</v>
      </c>
      <c r="D8" s="6">
        <f>Departamentos!E6</f>
        <v>0</v>
      </c>
    </row>
    <row r="9" spans="1:4" x14ac:dyDescent="0.25">
      <c r="A9" s="22" t="s">
        <v>19</v>
      </c>
      <c r="B9" s="6">
        <v>29330000</v>
      </c>
      <c r="C9" s="6">
        <v>41900000</v>
      </c>
      <c r="D9" s="6">
        <f>Departamentos!E7</f>
        <v>0</v>
      </c>
    </row>
    <row r="10" spans="1:4" x14ac:dyDescent="0.25">
      <c r="A10" s="22" t="s">
        <v>18</v>
      </c>
      <c r="B10" s="6">
        <v>24148600</v>
      </c>
      <c r="C10" s="6">
        <v>25690000</v>
      </c>
      <c r="D10" s="6">
        <f>Departamentos!E8</f>
        <v>0</v>
      </c>
    </row>
    <row r="11" spans="1:4" x14ac:dyDescent="0.25">
      <c r="A11" s="22" t="s">
        <v>23</v>
      </c>
      <c r="B11" s="6">
        <v>12881000.000000002</v>
      </c>
      <c r="C11" s="6">
        <v>11710000</v>
      </c>
      <c r="D11" s="6">
        <f>Departamentos!E9</f>
        <v>0</v>
      </c>
    </row>
    <row r="12" spans="1:4" ht="15.75" thickBot="1" x14ac:dyDescent="0.3">
      <c r="A12" s="22" t="s">
        <v>22</v>
      </c>
      <c r="B12" s="6">
        <v>0</v>
      </c>
      <c r="C12" s="6">
        <v>13909000</v>
      </c>
      <c r="D12" s="6">
        <f>Departamentos!E10</f>
        <v>0</v>
      </c>
    </row>
    <row r="13" spans="1:4" ht="15.75" thickBot="1" x14ac:dyDescent="0.3">
      <c r="A13" s="221" t="s">
        <v>29</v>
      </c>
      <c r="B13" s="230">
        <v>236710548</v>
      </c>
      <c r="C13" s="230">
        <v>287656900</v>
      </c>
      <c r="D13" s="232">
        <f>SUM(D14:D21)</f>
        <v>0</v>
      </c>
    </row>
    <row r="14" spans="1:4" x14ac:dyDescent="0.25">
      <c r="A14" s="22" t="s">
        <v>24</v>
      </c>
      <c r="B14" s="129">
        <v>0</v>
      </c>
      <c r="C14" s="129">
        <v>0</v>
      </c>
      <c r="D14" s="6">
        <f>Departamentos!D11</f>
        <v>0</v>
      </c>
    </row>
    <row r="15" spans="1:4" x14ac:dyDescent="0.25">
      <c r="A15" s="22" t="s">
        <v>21</v>
      </c>
      <c r="B15" s="129">
        <v>27570200</v>
      </c>
      <c r="C15" s="129">
        <v>29330000</v>
      </c>
      <c r="D15" s="129">
        <f>Departamentos!D3</f>
        <v>0</v>
      </c>
    </row>
    <row r="16" spans="1:4" x14ac:dyDescent="0.25">
      <c r="A16" s="22" t="s">
        <v>154</v>
      </c>
      <c r="B16" s="129">
        <v>47856150</v>
      </c>
      <c r="C16" s="129">
        <v>31904100</v>
      </c>
      <c r="D16" s="6">
        <f>Departamentos!D13</f>
        <v>0</v>
      </c>
    </row>
    <row r="17" spans="1:4" x14ac:dyDescent="0.25">
      <c r="A17" s="22" t="s">
        <v>20</v>
      </c>
      <c r="B17" s="129">
        <v>62620200</v>
      </c>
      <c r="C17" s="129">
        <v>52183500</v>
      </c>
      <c r="D17" s="129">
        <f>Departamentos!D5</f>
        <v>0</v>
      </c>
    </row>
    <row r="18" spans="1:4" x14ac:dyDescent="0.25">
      <c r="A18" s="22" t="s">
        <v>19</v>
      </c>
      <c r="B18" s="129">
        <v>16904020</v>
      </c>
      <c r="C18" s="129">
        <v>24148600</v>
      </c>
      <c r="D18" s="6">
        <f>Departamentos!D15</f>
        <v>0</v>
      </c>
    </row>
    <row r="19" spans="1:4" x14ac:dyDescent="0.25">
      <c r="A19" s="22" t="s">
        <v>18</v>
      </c>
      <c r="B19" s="129">
        <v>40606778</v>
      </c>
      <c r="C19" s="129">
        <v>43198700</v>
      </c>
      <c r="D19" s="129">
        <f>Departamentos!D7</f>
        <v>0</v>
      </c>
    </row>
    <row r="20" spans="1:4" x14ac:dyDescent="0.25">
      <c r="A20" s="22" t="s">
        <v>23</v>
      </c>
      <c r="B20" s="129">
        <v>41153200</v>
      </c>
      <c r="C20" s="129">
        <v>37412000</v>
      </c>
      <c r="D20" s="6">
        <f>Departamentos!D17</f>
        <v>0</v>
      </c>
    </row>
    <row r="21" spans="1:4" ht="15.75" thickBot="1" x14ac:dyDescent="0.3">
      <c r="A21" s="22" t="s">
        <v>22</v>
      </c>
      <c r="B21" s="129">
        <v>0</v>
      </c>
      <c r="C21" s="129">
        <v>69480000</v>
      </c>
      <c r="D21" s="129">
        <f>Departamentos!D9</f>
        <v>0</v>
      </c>
    </row>
    <row r="22" spans="1:4" ht="15.75" thickBot="1" x14ac:dyDescent="0.3">
      <c r="A22" s="221" t="s">
        <v>30</v>
      </c>
      <c r="B22" s="222">
        <v>288025643.40000004</v>
      </c>
      <c r="C22" s="222">
        <v>279605232</v>
      </c>
      <c r="D22" s="223">
        <f>SUM(D23:D30)</f>
        <v>271184820.60000002</v>
      </c>
    </row>
    <row r="23" spans="1:4" x14ac:dyDescent="0.25">
      <c r="A23" s="22" t="s">
        <v>24</v>
      </c>
      <c r="B23" s="129">
        <v>125064000</v>
      </c>
      <c r="C23" s="129">
        <v>69480000</v>
      </c>
      <c r="D23" s="129">
        <v>13896000</v>
      </c>
    </row>
    <row r="24" spans="1:4" x14ac:dyDescent="0.25">
      <c r="A24" s="22" t="s">
        <v>21</v>
      </c>
      <c r="B24" s="129">
        <v>22699684</v>
      </c>
      <c r="C24" s="129">
        <v>24148600</v>
      </c>
      <c r="D24" s="129">
        <v>25597516</v>
      </c>
    </row>
    <row r="25" spans="1:4" x14ac:dyDescent="0.25">
      <c r="A25" s="22" t="s">
        <v>154</v>
      </c>
      <c r="B25" s="129">
        <v>31478250</v>
      </c>
      <c r="C25" s="129">
        <v>20985500</v>
      </c>
      <c r="D25" s="129">
        <v>10492750</v>
      </c>
    </row>
    <row r="26" spans="1:4" x14ac:dyDescent="0.25">
      <c r="A26" s="22" t="s">
        <v>20</v>
      </c>
      <c r="B26" s="129">
        <v>35987824.799999997</v>
      </c>
      <c r="C26" s="129">
        <v>29989854</v>
      </c>
      <c r="D26" s="129">
        <v>23991883.199999999</v>
      </c>
    </row>
    <row r="27" spans="1:4" x14ac:dyDescent="0.25">
      <c r="A27" s="22" t="s">
        <v>19</v>
      </c>
      <c r="B27" s="129">
        <v>28424744.599999998</v>
      </c>
      <c r="C27" s="129">
        <v>40606778</v>
      </c>
      <c r="D27" s="129">
        <v>52788811.399999999</v>
      </c>
    </row>
    <row r="28" spans="1:4" x14ac:dyDescent="0.25">
      <c r="A28" s="22" t="s">
        <v>18</v>
      </c>
      <c r="B28" s="129">
        <v>12108140.000000002</v>
      </c>
      <c r="C28" s="129">
        <v>12881000.000000002</v>
      </c>
      <c r="D28" s="129">
        <v>13653860</v>
      </c>
    </row>
    <row r="29" spans="1:4" x14ac:dyDescent="0.25">
      <c r="A29" s="22" t="s">
        <v>23</v>
      </c>
      <c r="B29" s="129">
        <v>32263000.000000004</v>
      </c>
      <c r="C29" s="129">
        <v>29330000</v>
      </c>
      <c r="D29" s="129">
        <v>26397000</v>
      </c>
    </row>
    <row r="30" spans="1:4" ht="15.75" thickBot="1" x14ac:dyDescent="0.3">
      <c r="A30" s="22" t="s">
        <v>22</v>
      </c>
      <c r="B30" s="129">
        <v>0</v>
      </c>
      <c r="C30" s="129">
        <v>52183500</v>
      </c>
      <c r="D30" s="129">
        <v>104367000</v>
      </c>
    </row>
    <row r="31" spans="1:4" ht="15.75" thickBot="1" x14ac:dyDescent="0.3">
      <c r="A31" s="221" t="s">
        <v>31</v>
      </c>
      <c r="B31" s="222">
        <v>197942626.69600001</v>
      </c>
      <c r="C31" s="222">
        <v>181890159.31999999</v>
      </c>
      <c r="D31" s="229"/>
    </row>
    <row r="32" spans="1:4" x14ac:dyDescent="0.25">
      <c r="A32" s="22" t="s">
        <v>24</v>
      </c>
      <c r="B32" s="129">
        <v>68706668.376000002</v>
      </c>
      <c r="C32" s="129">
        <v>38170371.32</v>
      </c>
    </row>
    <row r="33" spans="1:3" x14ac:dyDescent="0.25">
      <c r="A33" s="22" t="s">
        <v>21</v>
      </c>
      <c r="B33" s="129">
        <v>38170371.32</v>
      </c>
      <c r="C33" s="129">
        <v>40606778</v>
      </c>
    </row>
    <row r="34" spans="1:3" x14ac:dyDescent="0.25">
      <c r="A34" s="22" t="s">
        <v>154</v>
      </c>
      <c r="B34" s="129">
        <v>0</v>
      </c>
      <c r="C34" s="129">
        <v>0</v>
      </c>
    </row>
    <row r="35" spans="1:3" x14ac:dyDescent="0.25">
      <c r="A35" s="22" t="s">
        <v>20</v>
      </c>
      <c r="B35" s="129">
        <v>25182600</v>
      </c>
      <c r="C35" s="129">
        <v>20985500</v>
      </c>
    </row>
    <row r="36" spans="1:3" x14ac:dyDescent="0.25">
      <c r="A36" s="22" t="s">
        <v>19</v>
      </c>
      <c r="B36" s="129">
        <v>9016700</v>
      </c>
      <c r="C36" s="129">
        <v>12881000.000000002</v>
      </c>
    </row>
    <row r="37" spans="1:3" x14ac:dyDescent="0.25">
      <c r="A37" s="22" t="s">
        <v>18</v>
      </c>
      <c r="B37" s="129">
        <v>35167280</v>
      </c>
      <c r="C37" s="129">
        <v>37412000</v>
      </c>
    </row>
    <row r="38" spans="1:3" x14ac:dyDescent="0.25">
      <c r="A38" s="22" t="s">
        <v>23</v>
      </c>
      <c r="B38" s="129">
        <v>21699007</v>
      </c>
      <c r="C38" s="129">
        <v>19726370</v>
      </c>
    </row>
    <row r="39" spans="1:3" x14ac:dyDescent="0.25">
      <c r="A39" s="22" t="s">
        <v>22</v>
      </c>
      <c r="B39" s="129">
        <v>0</v>
      </c>
      <c r="C39" s="129">
        <v>12108140.000000002</v>
      </c>
    </row>
    <row r="40" spans="1:3" x14ac:dyDescent="0.25">
      <c r="A40" s="21" t="s">
        <v>33</v>
      </c>
      <c r="B40" s="129">
        <v>988298918.09600008</v>
      </c>
      <c r="C40" s="129">
        <v>997175291.32000005</v>
      </c>
    </row>
  </sheetData>
  <customSheetViews>
    <customSheetView guid="{BEA796F3-A52F-431A-AFFF-913FC1A42D3C}">
      <selection activeCell="D40" sqref="A3:D40"/>
      <pageMargins left="0.7" right="0.7" top="0.75" bottom="0.75" header="0.3" footer="0.3"/>
    </customSheetView>
  </customSheetView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2" workbookViewId="0">
      <selection activeCell="E3" sqref="E3"/>
    </sheetView>
  </sheetViews>
  <sheetFormatPr baseColWidth="10" defaultRowHeight="15" x14ac:dyDescent="0.25"/>
  <cols>
    <col min="1" max="1" width="18.42578125" customWidth="1"/>
    <col min="2" max="2" width="14" customWidth="1"/>
    <col min="3" max="3" width="19.85546875" customWidth="1"/>
    <col min="4" max="4" width="16.85546875" customWidth="1"/>
    <col min="5" max="5" width="15.7109375" customWidth="1"/>
    <col min="6" max="6" width="18" bestFit="1" customWidth="1"/>
    <col min="7" max="8" width="19.5703125" bestFit="1" customWidth="1"/>
    <col min="9" max="9" width="13.28515625" customWidth="1"/>
  </cols>
  <sheetData>
    <row r="1" spans="1:9" ht="15.75" thickBot="1" x14ac:dyDescent="0.3">
      <c r="C1" s="270" t="s">
        <v>81</v>
      </c>
      <c r="D1" s="270"/>
      <c r="F1" s="20" t="s">
        <v>32</v>
      </c>
      <c r="G1" t="s">
        <v>34</v>
      </c>
      <c r="H1" t="s">
        <v>194</v>
      </c>
      <c r="I1" s="225" t="s">
        <v>193</v>
      </c>
    </row>
    <row r="2" spans="1:9" ht="15.75" thickBot="1" x14ac:dyDescent="0.3">
      <c r="A2" s="17" t="s">
        <v>146</v>
      </c>
      <c r="B2" s="17" t="s">
        <v>19</v>
      </c>
      <c r="C2" s="17" t="s">
        <v>27</v>
      </c>
      <c r="D2" s="17" t="s">
        <v>190</v>
      </c>
      <c r="E2" s="224" t="s">
        <v>191</v>
      </c>
      <c r="F2" s="234" t="s">
        <v>128</v>
      </c>
      <c r="G2" s="233">
        <v>74973649.24675326</v>
      </c>
      <c r="H2" s="227">
        <v>84111872.727272719</v>
      </c>
      <c r="I2" s="226">
        <f>SUM(I3:I10)</f>
        <v>328668300</v>
      </c>
    </row>
    <row r="3" spans="1:9" x14ac:dyDescent="0.25">
      <c r="A3" s="9" t="s">
        <v>18</v>
      </c>
      <c r="B3" s="9" t="s">
        <v>128</v>
      </c>
      <c r="C3" s="19">
        <f>Departamentos!C3</f>
        <v>0</v>
      </c>
      <c r="D3" s="19">
        <f>Departamentos!D3</f>
        <v>0</v>
      </c>
      <c r="E3" s="19">
        <f>Departamentos!E3</f>
        <v>0</v>
      </c>
      <c r="F3" s="22" t="s">
        <v>24</v>
      </c>
      <c r="G3" s="129">
        <v>0</v>
      </c>
      <c r="H3" s="129">
        <v>12680181.818181818</v>
      </c>
      <c r="I3" s="220">
        <v>75905000</v>
      </c>
    </row>
    <row r="4" spans="1:9" x14ac:dyDescent="0.25">
      <c r="A4" s="9" t="s">
        <v>154</v>
      </c>
      <c r="B4" s="9" t="s">
        <v>128</v>
      </c>
      <c r="C4" s="19">
        <f>Departamentos!C4</f>
        <v>0</v>
      </c>
      <c r="D4" s="19">
        <f>Departamentos!D4</f>
        <v>0</v>
      </c>
      <c r="E4" s="19">
        <f>Departamentos!E4</f>
        <v>0</v>
      </c>
      <c r="F4" s="22" t="s">
        <v>21</v>
      </c>
      <c r="G4" s="129">
        <v>0</v>
      </c>
      <c r="H4" s="129">
        <v>28741745.454545457</v>
      </c>
      <c r="I4" s="218">
        <v>32636000</v>
      </c>
    </row>
    <row r="5" spans="1:9" x14ac:dyDescent="0.25">
      <c r="A5" s="9" t="s">
        <v>19</v>
      </c>
      <c r="B5" s="9" t="s">
        <v>128</v>
      </c>
      <c r="C5" s="19">
        <f>Departamentos!C5</f>
        <v>0</v>
      </c>
      <c r="D5" s="19">
        <f>Departamentos!D5</f>
        <v>0</v>
      </c>
      <c r="E5" s="19">
        <f>Departamentos!E5</f>
        <v>0</v>
      </c>
      <c r="F5" s="22" t="s">
        <v>20</v>
      </c>
      <c r="G5" s="129">
        <v>31385454.545454547</v>
      </c>
      <c r="H5" s="129">
        <v>10313214.545454547</v>
      </c>
      <c r="I5" s="218">
        <v>86972500</v>
      </c>
    </row>
    <row r="6" spans="1:9" x14ac:dyDescent="0.25">
      <c r="A6" s="9" t="s">
        <v>20</v>
      </c>
      <c r="B6" s="9" t="s">
        <v>128</v>
      </c>
      <c r="C6" s="19">
        <f>Departamentos!C6</f>
        <v>0</v>
      </c>
      <c r="D6" s="19">
        <f>Departamentos!D6</f>
        <v>0</v>
      </c>
      <c r="E6" s="19">
        <f>Departamentos!E6</f>
        <v>0</v>
      </c>
      <c r="F6" s="22" t="s">
        <v>154</v>
      </c>
      <c r="G6" s="129">
        <v>9107457.6623376776</v>
      </c>
      <c r="H6" s="129">
        <v>11412163.636363637</v>
      </c>
      <c r="I6" s="218">
        <v>92640000</v>
      </c>
    </row>
    <row r="7" spans="1:9" x14ac:dyDescent="0.25">
      <c r="A7" s="9" t="s">
        <v>21</v>
      </c>
      <c r="B7" s="9" t="s">
        <v>128</v>
      </c>
      <c r="C7" s="19">
        <f>Departamentos!C7</f>
        <v>0</v>
      </c>
      <c r="D7" s="19">
        <f>Departamentos!D7</f>
        <v>0</v>
      </c>
      <c r="E7" s="19">
        <f>Departamentos!E7</f>
        <v>0</v>
      </c>
      <c r="F7" s="22" t="s">
        <v>19</v>
      </c>
      <c r="G7" s="129">
        <v>25082930.493506487</v>
      </c>
      <c r="H7" s="129">
        <v>1352552.7272727273</v>
      </c>
      <c r="I7" s="218">
        <v>4190000</v>
      </c>
    </row>
    <row r="8" spans="1:9" x14ac:dyDescent="0.25">
      <c r="A8" s="9" t="s">
        <v>22</v>
      </c>
      <c r="B8" s="9" t="s">
        <v>128</v>
      </c>
      <c r="C8" s="19">
        <f>Departamentos!C8</f>
        <v>0</v>
      </c>
      <c r="D8" s="19">
        <f>Departamentos!D8</f>
        <v>0</v>
      </c>
      <c r="E8" s="19">
        <f>Departamentos!E8</f>
        <v>0</v>
      </c>
      <c r="F8" s="22" t="s">
        <v>18</v>
      </c>
      <c r="G8" s="129">
        <v>5458261.0909090908</v>
      </c>
      <c r="H8" s="129">
        <v>10566818.181818182</v>
      </c>
      <c r="I8" s="218">
        <v>21065800</v>
      </c>
    </row>
    <row r="9" spans="1:9" x14ac:dyDescent="0.25">
      <c r="A9" s="9" t="s">
        <v>23</v>
      </c>
      <c r="B9" s="9" t="s">
        <v>128</v>
      </c>
      <c r="C9" s="19">
        <f>Departamentos!C9</f>
        <v>0</v>
      </c>
      <c r="D9" s="19">
        <f>Departamentos!D9</f>
        <v>0</v>
      </c>
      <c r="E9" s="19">
        <f>Departamentos!E9</f>
        <v>0</v>
      </c>
      <c r="F9" s="22" t="s">
        <v>23</v>
      </c>
      <c r="G9" s="129">
        <v>3939545.4545454546</v>
      </c>
      <c r="H9" s="129">
        <v>1014414.5454545455</v>
      </c>
      <c r="I9" s="218">
        <v>15223000</v>
      </c>
    </row>
    <row r="10" spans="1:9" ht="15.75" thickBot="1" x14ac:dyDescent="0.3">
      <c r="A10" s="208" t="s">
        <v>24</v>
      </c>
      <c r="B10" s="208" t="s">
        <v>128</v>
      </c>
      <c r="C10" s="19">
        <f>Departamentos!C10</f>
        <v>0</v>
      </c>
      <c r="D10" s="19">
        <f>Departamentos!D10</f>
        <v>0</v>
      </c>
      <c r="E10" s="19">
        <f>Departamentos!E10</f>
        <v>0</v>
      </c>
      <c r="F10" s="22" t="s">
        <v>22</v>
      </c>
      <c r="G10" s="129">
        <v>0</v>
      </c>
      <c r="H10" s="129">
        <v>8030781.8181818184</v>
      </c>
      <c r="I10" s="219">
        <v>36000</v>
      </c>
    </row>
    <row r="11" spans="1:9" ht="15.75" thickBot="1" x14ac:dyDescent="0.3">
      <c r="A11" s="80" t="s">
        <v>18</v>
      </c>
      <c r="B11" s="80" t="s">
        <v>139</v>
      </c>
      <c r="C11" s="19">
        <v>43198700</v>
      </c>
      <c r="D11" s="19">
        <f>+C11*0.94</f>
        <v>40606778</v>
      </c>
      <c r="F11" s="234" t="s">
        <v>139</v>
      </c>
      <c r="G11" s="233">
        <v>255877800</v>
      </c>
      <c r="H11" s="227">
        <v>189041898</v>
      </c>
      <c r="I11" s="223">
        <f>SUM(I12:I19)</f>
        <v>385782900</v>
      </c>
    </row>
    <row r="12" spans="1:9" x14ac:dyDescent="0.25">
      <c r="A12" s="9" t="s">
        <v>154</v>
      </c>
      <c r="B12" s="9" t="s">
        <v>139</v>
      </c>
      <c r="C12" s="19">
        <v>125000</v>
      </c>
      <c r="D12" s="19">
        <f>+C12*1.5</f>
        <v>187500</v>
      </c>
      <c r="F12" s="22" t="s">
        <v>24</v>
      </c>
      <c r="G12" s="129">
        <v>0</v>
      </c>
      <c r="H12" s="129">
        <v>0</v>
      </c>
      <c r="I12" s="220">
        <v>36000000</v>
      </c>
    </row>
    <row r="13" spans="1:9" x14ac:dyDescent="0.25">
      <c r="A13" s="9" t="s">
        <v>19</v>
      </c>
      <c r="B13" s="9" t="s">
        <v>139</v>
      </c>
      <c r="C13" s="19">
        <v>24148600</v>
      </c>
      <c r="D13" s="19">
        <f>+C13*0.7</f>
        <v>16904020</v>
      </c>
      <c r="F13" s="22" t="s">
        <v>21</v>
      </c>
      <c r="G13" s="129">
        <v>29330000</v>
      </c>
      <c r="H13" s="129">
        <v>27570200</v>
      </c>
      <c r="I13" s="218">
        <v>75905000</v>
      </c>
    </row>
    <row r="14" spans="1:9" x14ac:dyDescent="0.25">
      <c r="A14" s="9" t="s">
        <v>20</v>
      </c>
      <c r="B14" s="9" t="s">
        <v>139</v>
      </c>
      <c r="C14" s="19">
        <v>52183500</v>
      </c>
      <c r="D14" s="19">
        <f>+C14*1.2</f>
        <v>62620200</v>
      </c>
      <c r="F14" s="22" t="s">
        <v>20</v>
      </c>
      <c r="G14" s="129">
        <v>52183500</v>
      </c>
      <c r="H14" s="129">
        <v>62620200</v>
      </c>
      <c r="I14" s="218">
        <v>32636000</v>
      </c>
    </row>
    <row r="15" spans="1:9" x14ac:dyDescent="0.25">
      <c r="A15" s="9" t="s">
        <v>21</v>
      </c>
      <c r="B15" s="9" t="s">
        <v>139</v>
      </c>
      <c r="C15" s="19">
        <v>29330000</v>
      </c>
      <c r="D15" s="19">
        <f t="shared" ref="D15" si="0">+C15*0.94</f>
        <v>27570200</v>
      </c>
      <c r="F15" s="22" t="s">
        <v>154</v>
      </c>
      <c r="G15" s="129">
        <v>125000</v>
      </c>
      <c r="H15" s="129">
        <v>187500</v>
      </c>
      <c r="I15" s="218">
        <v>86972500</v>
      </c>
    </row>
    <row r="16" spans="1:9" x14ac:dyDescent="0.25">
      <c r="A16" s="9" t="s">
        <v>22</v>
      </c>
      <c r="B16" s="9" t="s">
        <v>139</v>
      </c>
      <c r="C16" s="19">
        <v>69480000</v>
      </c>
      <c r="D16" s="19">
        <v>0</v>
      </c>
      <c r="F16" s="22" t="s">
        <v>19</v>
      </c>
      <c r="G16" s="129">
        <v>24148600</v>
      </c>
      <c r="H16" s="129">
        <v>16904020</v>
      </c>
      <c r="I16" s="218">
        <v>92640000</v>
      </c>
    </row>
    <row r="17" spans="1:9" x14ac:dyDescent="0.25">
      <c r="A17" s="9" t="s">
        <v>23</v>
      </c>
      <c r="B17" s="9" t="s">
        <v>139</v>
      </c>
      <c r="C17" s="19">
        <v>37412000</v>
      </c>
      <c r="D17" s="19">
        <f>+C17*1.1</f>
        <v>41153200</v>
      </c>
      <c r="F17" s="22" t="s">
        <v>18</v>
      </c>
      <c r="G17" s="129">
        <v>43198700</v>
      </c>
      <c r="H17" s="129">
        <v>40606778</v>
      </c>
      <c r="I17" s="218">
        <v>4190000</v>
      </c>
    </row>
    <row r="18" spans="1:9" ht="15.75" thickBot="1" x14ac:dyDescent="0.3">
      <c r="A18" s="208" t="s">
        <v>24</v>
      </c>
      <c r="B18" s="208" t="s">
        <v>139</v>
      </c>
      <c r="C18" s="19">
        <v>0</v>
      </c>
      <c r="D18" s="19">
        <f>+C18*1.8</f>
        <v>0</v>
      </c>
      <c r="F18" s="22" t="s">
        <v>23</v>
      </c>
      <c r="G18" s="129">
        <v>37412000</v>
      </c>
      <c r="H18" s="129">
        <v>41153200</v>
      </c>
      <c r="I18" s="129">
        <v>44894400</v>
      </c>
    </row>
    <row r="19" spans="1:9" ht="15.75" thickBot="1" x14ac:dyDescent="0.3">
      <c r="A19" s="80" t="s">
        <v>18</v>
      </c>
      <c r="B19" s="80" t="s">
        <v>140</v>
      </c>
      <c r="C19" s="19">
        <v>12881000.000000002</v>
      </c>
      <c r="D19" s="19">
        <f>+C19*0.94</f>
        <v>12108140.000000002</v>
      </c>
      <c r="F19" s="22" t="s">
        <v>22</v>
      </c>
      <c r="G19" s="129">
        <v>69480000</v>
      </c>
      <c r="H19" s="129">
        <v>0</v>
      </c>
      <c r="I19" s="219">
        <v>12545000</v>
      </c>
    </row>
    <row r="20" spans="1:9" ht="15.75" thickBot="1" x14ac:dyDescent="0.3">
      <c r="A20" s="9" t="s">
        <v>154</v>
      </c>
      <c r="B20" s="9" t="s">
        <v>140</v>
      </c>
      <c r="C20" s="19">
        <v>20985500</v>
      </c>
      <c r="D20" s="19">
        <f>+C20*1.5</f>
        <v>31478250</v>
      </c>
      <c r="F20" s="234" t="s">
        <v>140</v>
      </c>
      <c r="G20" s="233">
        <v>279605232</v>
      </c>
      <c r="H20" s="227">
        <v>288025643.40000004</v>
      </c>
      <c r="I20" s="227"/>
    </row>
    <row r="21" spans="1:9" x14ac:dyDescent="0.25">
      <c r="A21" s="9" t="s">
        <v>19</v>
      </c>
      <c r="B21" s="9" t="s">
        <v>140</v>
      </c>
      <c r="C21" s="19">
        <v>40606778</v>
      </c>
      <c r="D21" s="19">
        <f>+C21*0.7</f>
        <v>28424744.599999998</v>
      </c>
      <c r="F21" s="22" t="s">
        <v>24</v>
      </c>
      <c r="G21" s="129">
        <v>69480000</v>
      </c>
      <c r="H21" s="129">
        <v>125064000</v>
      </c>
      <c r="I21" s="80">
        <v>7890000</v>
      </c>
    </row>
    <row r="22" spans="1:9" x14ac:dyDescent="0.25">
      <c r="A22" s="9" t="s">
        <v>20</v>
      </c>
      <c r="B22" s="9" t="s">
        <v>140</v>
      </c>
      <c r="C22" s="19">
        <v>29989854</v>
      </c>
      <c r="D22" s="19">
        <f>+C22*1.2</f>
        <v>35987824.799999997</v>
      </c>
      <c r="F22" s="22" t="s">
        <v>21</v>
      </c>
      <c r="G22" s="129">
        <v>24148600</v>
      </c>
      <c r="H22" s="129">
        <v>22699684</v>
      </c>
      <c r="I22" s="129">
        <v>21250768</v>
      </c>
    </row>
    <row r="23" spans="1:9" x14ac:dyDescent="0.25">
      <c r="A23" s="9" t="s">
        <v>21</v>
      </c>
      <c r="B23" s="9" t="s">
        <v>140</v>
      </c>
      <c r="C23" s="19">
        <v>24148600</v>
      </c>
      <c r="D23" s="19">
        <f t="shared" ref="D23" si="1">+C23*0.94</f>
        <v>22699684</v>
      </c>
      <c r="F23" s="22" t="s">
        <v>20</v>
      </c>
      <c r="G23" s="129">
        <v>29989854</v>
      </c>
      <c r="H23" s="129">
        <v>35987824.799999997</v>
      </c>
      <c r="I23" s="129">
        <v>4198579</v>
      </c>
    </row>
    <row r="24" spans="1:9" x14ac:dyDescent="0.25">
      <c r="A24" s="9" t="s">
        <v>22</v>
      </c>
      <c r="B24" s="9" t="s">
        <v>140</v>
      </c>
      <c r="C24" s="19">
        <v>52183500</v>
      </c>
      <c r="D24" s="19">
        <v>0</v>
      </c>
      <c r="F24" s="22" t="s">
        <v>154</v>
      </c>
      <c r="G24" s="129">
        <v>20985500</v>
      </c>
      <c r="H24" s="129">
        <v>31478250</v>
      </c>
      <c r="I24" s="129">
        <v>419710</v>
      </c>
    </row>
    <row r="25" spans="1:9" x14ac:dyDescent="0.25">
      <c r="A25" s="9" t="s">
        <v>23</v>
      </c>
      <c r="B25" s="9" t="s">
        <v>140</v>
      </c>
      <c r="C25" s="19">
        <v>29330000</v>
      </c>
      <c r="D25" s="19">
        <f>+C25*1.1</f>
        <v>32263000.000000004</v>
      </c>
      <c r="F25" s="22" t="s">
        <v>19</v>
      </c>
      <c r="G25" s="129">
        <v>40606778</v>
      </c>
      <c r="H25" s="129">
        <v>28424744.599999998</v>
      </c>
      <c r="I25" s="228">
        <v>0</v>
      </c>
    </row>
    <row r="26" spans="1:9" x14ac:dyDescent="0.25">
      <c r="A26" s="9" t="s">
        <v>24</v>
      </c>
      <c r="B26" s="9" t="s">
        <v>140</v>
      </c>
      <c r="C26" s="19">
        <v>69480000</v>
      </c>
      <c r="D26" s="19">
        <f>+C26*1.8</f>
        <v>125064000</v>
      </c>
      <c r="F26" s="22" t="s">
        <v>18</v>
      </c>
      <c r="G26" s="129">
        <v>12881000.000000002</v>
      </c>
      <c r="H26" s="129">
        <v>12108140.000000002</v>
      </c>
      <c r="I26" s="129">
        <v>11335280</v>
      </c>
    </row>
    <row r="27" spans="1:9" x14ac:dyDescent="0.25">
      <c r="A27" s="9" t="s">
        <v>18</v>
      </c>
      <c r="B27" s="9" t="s">
        <v>141</v>
      </c>
      <c r="C27" s="19">
        <v>37412000</v>
      </c>
      <c r="D27" s="19">
        <f>+C27*0.94</f>
        <v>35167280</v>
      </c>
      <c r="F27" s="22" t="s">
        <v>23</v>
      </c>
      <c r="G27" s="129">
        <v>29330000</v>
      </c>
      <c r="H27" s="129">
        <v>32263000.000000004</v>
      </c>
      <c r="I27" s="129">
        <v>12500000</v>
      </c>
    </row>
    <row r="28" spans="1:9" x14ac:dyDescent="0.25">
      <c r="A28" s="9" t="s">
        <v>154</v>
      </c>
      <c r="B28" s="9" t="s">
        <v>141</v>
      </c>
      <c r="C28" s="19">
        <v>0</v>
      </c>
      <c r="D28" s="19">
        <f>+C28*1.5</f>
        <v>0</v>
      </c>
      <c r="F28" s="22" t="s">
        <v>22</v>
      </c>
      <c r="G28" s="129">
        <v>52183500</v>
      </c>
      <c r="H28" s="129">
        <v>0</v>
      </c>
      <c r="I28" s="129">
        <v>0</v>
      </c>
    </row>
    <row r="29" spans="1:9" x14ac:dyDescent="0.25">
      <c r="A29" s="9" t="s">
        <v>19</v>
      </c>
      <c r="B29" s="9" t="s">
        <v>141</v>
      </c>
      <c r="C29" s="19">
        <v>12881000.000000002</v>
      </c>
      <c r="D29" s="19">
        <f>+C29*0.7</f>
        <v>9016700</v>
      </c>
      <c r="F29" s="21" t="s">
        <v>141</v>
      </c>
      <c r="G29" s="129">
        <v>181890159.31999999</v>
      </c>
      <c r="H29" s="129">
        <v>197942626.69600001</v>
      </c>
    </row>
    <row r="30" spans="1:9" x14ac:dyDescent="0.25">
      <c r="A30" s="9" t="s">
        <v>20</v>
      </c>
      <c r="B30" s="9" t="s">
        <v>141</v>
      </c>
      <c r="C30" s="19">
        <v>20985500</v>
      </c>
      <c r="D30" s="19">
        <f>+C30*1.2</f>
        <v>25182600</v>
      </c>
      <c r="F30" s="22" t="s">
        <v>24</v>
      </c>
      <c r="G30" s="129">
        <v>38170371.32</v>
      </c>
      <c r="H30" s="129">
        <v>68706668.376000002</v>
      </c>
    </row>
    <row r="31" spans="1:9" x14ac:dyDescent="0.25">
      <c r="A31" s="9" t="s">
        <v>21</v>
      </c>
      <c r="B31" s="9" t="s">
        <v>141</v>
      </c>
      <c r="C31" s="19">
        <v>40606778</v>
      </c>
      <c r="D31" s="19">
        <f t="shared" ref="D31" si="2">+C31*0.94</f>
        <v>38170371.32</v>
      </c>
      <c r="F31" s="22" t="s">
        <v>21</v>
      </c>
      <c r="G31" s="129">
        <v>40606778</v>
      </c>
      <c r="H31" s="129">
        <v>38170371.32</v>
      </c>
    </row>
    <row r="32" spans="1:9" x14ac:dyDescent="0.25">
      <c r="A32" s="9" t="s">
        <v>22</v>
      </c>
      <c r="B32" s="9" t="s">
        <v>141</v>
      </c>
      <c r="C32" s="19">
        <v>12108140.000000002</v>
      </c>
      <c r="D32" s="19">
        <v>0</v>
      </c>
      <c r="F32" s="22" t="s">
        <v>20</v>
      </c>
      <c r="G32" s="129">
        <v>20985500</v>
      </c>
      <c r="H32" s="129">
        <v>25182600</v>
      </c>
    </row>
    <row r="33" spans="1:8" x14ac:dyDescent="0.25">
      <c r="A33" s="9" t="s">
        <v>23</v>
      </c>
      <c r="B33" s="9" t="s">
        <v>141</v>
      </c>
      <c r="C33" s="19">
        <v>19726370</v>
      </c>
      <c r="D33" s="19">
        <f>+C33*1.1</f>
        <v>21699007</v>
      </c>
      <c r="F33" s="22" t="s">
        <v>154</v>
      </c>
      <c r="G33" s="129">
        <v>0</v>
      </c>
      <c r="H33" s="129">
        <v>0</v>
      </c>
    </row>
    <row r="34" spans="1:8" x14ac:dyDescent="0.25">
      <c r="A34" s="9" t="s">
        <v>24</v>
      </c>
      <c r="B34" s="9" t="s">
        <v>141</v>
      </c>
      <c r="C34" s="19">
        <v>38170371.32</v>
      </c>
      <c r="D34" s="19">
        <f>+C34*1.8</f>
        <v>68706668.376000002</v>
      </c>
      <c r="F34" s="22" t="s">
        <v>19</v>
      </c>
      <c r="G34" s="129">
        <v>12881000.000000002</v>
      </c>
      <c r="H34" s="129">
        <v>9016700</v>
      </c>
    </row>
    <row r="35" spans="1:8" x14ac:dyDescent="0.25">
      <c r="F35" s="22" t="s">
        <v>18</v>
      </c>
      <c r="G35" s="129">
        <v>37412000</v>
      </c>
      <c r="H35" s="129">
        <v>35167280</v>
      </c>
    </row>
    <row r="36" spans="1:8" x14ac:dyDescent="0.25">
      <c r="F36" s="22" t="s">
        <v>23</v>
      </c>
      <c r="G36" s="129">
        <v>19726370</v>
      </c>
      <c r="H36" s="129">
        <v>21699007</v>
      </c>
    </row>
    <row r="37" spans="1:8" x14ac:dyDescent="0.25">
      <c r="F37" s="22" t="s">
        <v>22</v>
      </c>
      <c r="G37" s="129">
        <v>12108140.000000002</v>
      </c>
      <c r="H37" s="129">
        <v>0</v>
      </c>
    </row>
    <row r="38" spans="1:8" x14ac:dyDescent="0.25">
      <c r="F38" s="21" t="s">
        <v>33</v>
      </c>
      <c r="G38" s="129">
        <v>792346840.56675327</v>
      </c>
      <c r="H38" s="129">
        <v>759122040.82327294</v>
      </c>
    </row>
  </sheetData>
  <customSheetViews>
    <customSheetView guid="{BEA796F3-A52F-431A-AFFF-913FC1A42D3C}" topLeftCell="A2">
      <selection activeCell="H11" sqref="H11"/>
      <pageMargins left="0.7" right="0.7" top="0.75" bottom="0.75" header="0.3" footer="0.3"/>
    </customSheetView>
  </customSheetViews>
  <mergeCells count="1">
    <mergeCell ref="C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E3" sqref="E3:E10"/>
    </sheetView>
  </sheetViews>
  <sheetFormatPr baseColWidth="10" defaultRowHeight="15" x14ac:dyDescent="0.25"/>
  <cols>
    <col min="1" max="1" width="20.85546875" customWidth="1"/>
    <col min="2" max="2" width="16.140625" customWidth="1"/>
    <col min="3" max="3" width="12.140625" customWidth="1"/>
    <col min="4" max="4" width="10.85546875" customWidth="1"/>
    <col min="5" max="5" width="13.85546875" customWidth="1"/>
    <col min="6" max="6" width="10.85546875" customWidth="1"/>
    <col min="7" max="7" width="14" customWidth="1"/>
    <col min="8" max="8" width="11" customWidth="1"/>
    <col min="9" max="9" width="14.28515625" customWidth="1"/>
  </cols>
  <sheetData>
    <row r="1" spans="1:9" ht="16.5" thickBot="1" x14ac:dyDescent="0.3">
      <c r="B1" s="205" t="s">
        <v>128</v>
      </c>
      <c r="C1" t="s">
        <v>26</v>
      </c>
      <c r="D1" s="271">
        <v>2013</v>
      </c>
      <c r="E1" s="272"/>
      <c r="F1" s="273">
        <v>2014</v>
      </c>
      <c r="G1" s="272"/>
      <c r="H1" s="273">
        <v>2015</v>
      </c>
      <c r="I1" s="272"/>
    </row>
    <row r="2" spans="1:9" ht="59.25" customHeight="1" x14ac:dyDescent="0.25">
      <c r="A2" s="122" t="s">
        <v>0</v>
      </c>
      <c r="B2" s="135" t="s">
        <v>25</v>
      </c>
      <c r="C2" s="135" t="s">
        <v>10</v>
      </c>
      <c r="D2" s="135" t="s">
        <v>210</v>
      </c>
      <c r="E2" s="136" t="s">
        <v>138</v>
      </c>
      <c r="F2" s="210" t="s">
        <v>186</v>
      </c>
      <c r="G2" s="211" t="s">
        <v>138</v>
      </c>
      <c r="H2" s="210" t="s">
        <v>186</v>
      </c>
      <c r="I2" s="211" t="s">
        <v>138</v>
      </c>
    </row>
    <row r="3" spans="1:9" x14ac:dyDescent="0.25">
      <c r="A3" s="10"/>
      <c r="B3" s="9" t="e">
        <f>LOOKUP('Recursos de Trabajo'!C3,Departamentos!$A$3:$B$10)</f>
        <v>#N/A</v>
      </c>
      <c r="C3" s="16">
        <f>'Recursos de Trabajo'!E3</f>
        <v>0</v>
      </c>
      <c r="D3" s="237"/>
      <c r="E3" s="123">
        <f>C3*D3</f>
        <v>0</v>
      </c>
      <c r="F3" s="237"/>
      <c r="G3" s="238">
        <f>F3*$D$3*1.05</f>
        <v>0</v>
      </c>
      <c r="H3" s="237"/>
      <c r="I3" s="238">
        <f>H3*$C$3*1.07</f>
        <v>0</v>
      </c>
    </row>
    <row r="4" spans="1:9" x14ac:dyDescent="0.25">
      <c r="A4" s="10"/>
      <c r="B4" s="9"/>
      <c r="C4" s="16">
        <f>'Recursos de Trabajo'!E4</f>
        <v>0</v>
      </c>
      <c r="D4" s="236"/>
      <c r="E4" s="123"/>
      <c r="F4" s="236"/>
      <c r="G4" s="238"/>
      <c r="H4" s="236"/>
      <c r="I4" s="238"/>
    </row>
    <row r="5" spans="1:9" x14ac:dyDescent="0.25">
      <c r="A5" s="10"/>
      <c r="B5" s="9"/>
      <c r="C5" s="16">
        <f>'Recursos de Trabajo'!E5</f>
        <v>0</v>
      </c>
      <c r="D5" s="236"/>
      <c r="E5" s="123"/>
      <c r="F5" s="237"/>
      <c r="G5" s="238"/>
      <c r="H5" s="237"/>
      <c r="I5" s="238"/>
    </row>
    <row r="6" spans="1:9" x14ac:dyDescent="0.25">
      <c r="A6" s="10"/>
      <c r="B6" s="9"/>
      <c r="C6" s="16">
        <f>'Recursos de Trabajo'!E6</f>
        <v>0</v>
      </c>
      <c r="D6" s="236"/>
      <c r="E6" s="123"/>
      <c r="F6" s="236"/>
      <c r="G6" s="238"/>
      <c r="H6" s="236"/>
      <c r="I6" s="238"/>
    </row>
    <row r="7" spans="1:9" x14ac:dyDescent="0.25">
      <c r="A7" s="10"/>
      <c r="B7" s="9"/>
      <c r="C7" s="16">
        <f>'Recursos de Trabajo'!E7</f>
        <v>0</v>
      </c>
      <c r="D7" s="236"/>
      <c r="E7" s="123"/>
      <c r="F7" s="237"/>
      <c r="G7" s="238"/>
      <c r="H7" s="237"/>
      <c r="I7" s="238"/>
    </row>
    <row r="8" spans="1:9" x14ac:dyDescent="0.25">
      <c r="A8" s="10"/>
      <c r="B8" s="9"/>
      <c r="C8" s="16">
        <f>'Recursos de Trabajo'!E8</f>
        <v>0</v>
      </c>
      <c r="D8" s="236"/>
      <c r="E8" s="123"/>
      <c r="F8" s="236"/>
      <c r="G8" s="238"/>
      <c r="H8" s="236"/>
      <c r="I8" s="238"/>
    </row>
    <row r="9" spans="1:9" x14ac:dyDescent="0.25">
      <c r="A9" s="10"/>
      <c r="B9" s="9"/>
      <c r="C9" s="235">
        <f>'Recursos de Trabajo'!E8</f>
        <v>0</v>
      </c>
      <c r="D9" s="236"/>
      <c r="E9" s="123"/>
      <c r="F9" s="237"/>
      <c r="G9" s="238"/>
      <c r="H9" s="237"/>
      <c r="I9" s="238"/>
    </row>
    <row r="10" spans="1:9" x14ac:dyDescent="0.25">
      <c r="A10" s="214" t="s">
        <v>129</v>
      </c>
      <c r="B10" s="216" t="e">
        <f>LOOKUP('Recursos de Trabajo'!C10,Departamentos!$A$3:$B$10)</f>
        <v>#N/A</v>
      </c>
      <c r="C10" s="235">
        <f>'Recursos de Trabajo'!E9</f>
        <v>0</v>
      </c>
      <c r="D10" s="236"/>
      <c r="E10" s="123"/>
      <c r="F10" s="237"/>
      <c r="G10" s="238"/>
      <c r="H10" s="236"/>
      <c r="I10" s="238"/>
    </row>
    <row r="11" spans="1:9" ht="15.75" thickBot="1" x14ac:dyDescent="0.3">
      <c r="A11" s="124"/>
      <c r="B11" s="125" t="s">
        <v>28</v>
      </c>
      <c r="C11" s="125"/>
      <c r="D11" s="126">
        <f>SUM(D3:D10)</f>
        <v>0</v>
      </c>
      <c r="E11" s="127"/>
      <c r="F11" s="212">
        <f>SUM(F3:F10)</f>
        <v>0</v>
      </c>
      <c r="G11" s="127"/>
      <c r="H11" s="212">
        <f>SUM(H3:H10)</f>
        <v>0</v>
      </c>
      <c r="I11" s="127"/>
    </row>
    <row r="12" spans="1:9" x14ac:dyDescent="0.25">
      <c r="A12" s="8"/>
    </row>
  </sheetData>
  <customSheetViews>
    <customSheetView guid="{BEA796F3-A52F-431A-AFFF-913FC1A42D3C}">
      <selection activeCell="B3" sqref="B3"/>
      <pageMargins left="0.7" right="0.7" top="0.75" bottom="0.75" header="0.3" footer="0.3"/>
      <pageSetup orientation="portrait" r:id="rId1"/>
    </customSheetView>
  </customSheetViews>
  <mergeCells count="3">
    <mergeCell ref="D1:E1"/>
    <mergeCell ref="F1:G1"/>
    <mergeCell ref="H1:I1"/>
  </mergeCells>
  <dataValidations count="1">
    <dataValidation type="whole" allowBlank="1" showInputMessage="1" showErrorMessage="1" sqref="D3:D9 F3:F10">
      <formula1>0</formula1>
      <formula2>360</formula2>
    </dataValidation>
  </dataValidations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zoomScaleNormal="100" workbookViewId="0">
      <selection activeCell="C15" sqref="C15"/>
    </sheetView>
  </sheetViews>
  <sheetFormatPr baseColWidth="10" defaultRowHeight="15" x14ac:dyDescent="0.25"/>
  <cols>
    <col min="1" max="1" width="22.42578125" customWidth="1"/>
    <col min="2" max="2" width="13.85546875" customWidth="1"/>
    <col min="3" max="3" width="15.5703125" customWidth="1"/>
    <col min="4" max="4" width="15.42578125" customWidth="1"/>
    <col min="5" max="5" width="12.7109375" customWidth="1"/>
    <col min="6" max="6" width="13.85546875" customWidth="1"/>
    <col min="7" max="7" width="13.140625" customWidth="1"/>
    <col min="8" max="8" width="12.42578125" customWidth="1"/>
    <col min="9" max="9" width="13" customWidth="1"/>
    <col min="10" max="10" width="13.28515625" customWidth="1"/>
    <col min="11" max="11" width="12.85546875" customWidth="1"/>
    <col min="12" max="12" width="13" customWidth="1"/>
  </cols>
  <sheetData>
    <row r="1" spans="1:14" ht="15.75" x14ac:dyDescent="0.25">
      <c r="C1" s="32" t="s">
        <v>128</v>
      </c>
      <c r="E1" t="s">
        <v>112</v>
      </c>
      <c r="F1" s="3">
        <f ca="1">TODAY()</f>
        <v>41575</v>
      </c>
    </row>
    <row r="2" spans="1:14" ht="15.75" thickBot="1" x14ac:dyDescent="0.3">
      <c r="A2" s="175" t="s">
        <v>81</v>
      </c>
      <c r="B2" s="217" t="s">
        <v>36</v>
      </c>
      <c r="C2" s="217" t="s">
        <v>35</v>
      </c>
      <c r="D2" s="217" t="s">
        <v>37</v>
      </c>
      <c r="E2" s="217" t="s">
        <v>38</v>
      </c>
      <c r="F2" s="217" t="s">
        <v>39</v>
      </c>
      <c r="G2" s="217" t="s">
        <v>40</v>
      </c>
      <c r="H2" s="217" t="s">
        <v>41</v>
      </c>
      <c r="I2" s="217" t="s">
        <v>42</v>
      </c>
      <c r="J2" s="217" t="s">
        <v>43</v>
      </c>
      <c r="K2" s="174"/>
      <c r="L2" s="174"/>
      <c r="M2" s="7"/>
      <c r="N2" s="7"/>
    </row>
    <row r="3" spans="1:14" ht="15.75" thickBot="1" x14ac:dyDescent="0.3">
      <c r="A3" s="31" t="s">
        <v>69</v>
      </c>
      <c r="B3" s="278">
        <v>0</v>
      </c>
      <c r="C3" s="278"/>
      <c r="D3" s="278"/>
      <c r="E3" s="240"/>
      <c r="F3" s="278"/>
      <c r="G3" s="278"/>
      <c r="H3" s="240"/>
      <c r="I3" s="278"/>
      <c r="J3" s="278"/>
      <c r="K3" s="172"/>
      <c r="L3" s="172"/>
    </row>
    <row r="4" spans="1:14" x14ac:dyDescent="0.25">
      <c r="A4" s="34" t="s">
        <v>70</v>
      </c>
      <c r="B4" s="6"/>
      <c r="C4" s="6"/>
      <c r="D4" s="6"/>
      <c r="E4" s="279"/>
      <c r="F4" s="6"/>
      <c r="G4" s="6"/>
      <c r="H4" s="6"/>
      <c r="I4" s="6"/>
      <c r="J4" s="169"/>
      <c r="K4" s="29"/>
      <c r="L4" s="29"/>
    </row>
    <row r="5" spans="1:14" x14ac:dyDescent="0.25">
      <c r="A5" s="35" t="s">
        <v>71</v>
      </c>
      <c r="B5" s="6"/>
      <c r="C5" s="6"/>
      <c r="D5" s="6"/>
      <c r="E5" s="169"/>
      <c r="F5" s="6"/>
      <c r="G5" s="6"/>
      <c r="H5" s="6"/>
      <c r="I5" s="6"/>
      <c r="J5" s="169"/>
      <c r="K5" s="6"/>
      <c r="L5" s="6"/>
    </row>
    <row r="6" spans="1:14" x14ac:dyDescent="0.25">
      <c r="A6" s="35" t="s">
        <v>72</v>
      </c>
      <c r="B6" s="6"/>
      <c r="C6" s="6"/>
      <c r="D6" s="6"/>
      <c r="E6" s="169"/>
      <c r="F6" s="6"/>
      <c r="G6" s="6"/>
      <c r="H6" s="6"/>
      <c r="I6" s="6"/>
      <c r="J6" s="6"/>
      <c r="K6" s="170"/>
      <c r="L6" s="170"/>
    </row>
    <row r="7" spans="1:14" x14ac:dyDescent="0.25">
      <c r="A7" s="35" t="s">
        <v>73</v>
      </c>
      <c r="B7" s="6"/>
      <c r="C7" s="6"/>
      <c r="D7" s="6"/>
      <c r="E7" s="169"/>
      <c r="F7" s="6"/>
      <c r="G7" s="6"/>
      <c r="H7" s="6"/>
      <c r="I7" s="6"/>
      <c r="J7" s="170"/>
      <c r="K7" s="170"/>
      <c r="L7" s="170"/>
    </row>
    <row r="8" spans="1:14" ht="15.75" thickBot="1" x14ac:dyDescent="0.3">
      <c r="A8" s="181" t="s">
        <v>75</v>
      </c>
      <c r="B8" s="239">
        <f>SUM(C5:C7)</f>
        <v>0</v>
      </c>
      <c r="C8" s="239"/>
      <c r="D8" s="239"/>
      <c r="E8" s="239"/>
      <c r="F8" s="239"/>
      <c r="G8" s="239"/>
      <c r="H8" s="239"/>
      <c r="I8" s="239"/>
      <c r="J8" s="239"/>
      <c r="K8" s="172"/>
      <c r="L8" s="172"/>
    </row>
    <row r="9" spans="1:14" ht="15.75" thickBot="1" x14ac:dyDescent="0.3">
      <c r="A9" s="182" t="s">
        <v>1</v>
      </c>
      <c r="B9" s="239">
        <f t="shared" ref="B9" si="0">B3-B8</f>
        <v>0</v>
      </c>
      <c r="C9" s="239"/>
      <c r="D9" s="239"/>
      <c r="E9" s="240"/>
      <c r="F9" s="239"/>
      <c r="G9" s="239"/>
      <c r="H9" s="239"/>
      <c r="I9" s="239"/>
      <c r="J9" s="239"/>
      <c r="K9" s="172"/>
      <c r="L9" s="172"/>
    </row>
    <row r="10" spans="1:14" ht="15.75" thickBot="1" x14ac:dyDescent="0.3">
      <c r="A10" t="s">
        <v>77</v>
      </c>
      <c r="B10" s="241"/>
      <c r="C10" s="241"/>
      <c r="D10" s="241"/>
      <c r="E10" s="7"/>
      <c r="F10" s="7"/>
      <c r="I10" s="8"/>
      <c r="J10" s="113"/>
      <c r="K10" s="113"/>
      <c r="L10" s="113"/>
    </row>
    <row r="11" spans="1:14" x14ac:dyDescent="0.25">
      <c r="A11" s="176" t="s">
        <v>78</v>
      </c>
      <c r="B11" s="177">
        <f>NPV(B10,$C$9:J9)+$B$9</f>
        <v>0</v>
      </c>
      <c r="C11" s="177">
        <f>NPV(C10,$C$9:$J$9)+$B$9</f>
        <v>0</v>
      </c>
      <c r="D11" s="177">
        <f>NPV(B10,$C$9:$J$9)+B9</f>
        <v>0</v>
      </c>
      <c r="E11" s="7"/>
      <c r="F11" s="7"/>
      <c r="I11" s="8"/>
      <c r="J11" s="113"/>
      <c r="K11" s="113"/>
      <c r="L11" s="113"/>
    </row>
    <row r="12" spans="1:14" ht="16.5" thickBot="1" x14ac:dyDescent="0.3">
      <c r="A12" s="178" t="s">
        <v>2</v>
      </c>
      <c r="B12" s="242" t="e">
        <f>IRR(C9)</f>
        <v>#NUM!</v>
      </c>
      <c r="C12" s="179"/>
      <c r="D12" s="180"/>
      <c r="E12" s="7"/>
      <c r="F12" s="7"/>
      <c r="J12" s="113"/>
      <c r="K12" s="113"/>
      <c r="L12" s="171"/>
    </row>
    <row r="13" spans="1:14" x14ac:dyDescent="0.25">
      <c r="A13" s="34" t="s">
        <v>179</v>
      </c>
      <c r="B13" s="183" t="str">
        <f>IF(B8=0,"",(B3-B8)/B8)</f>
        <v/>
      </c>
      <c r="C13" s="183">
        <f>IF(SUM($B$8:C8)&lt;&gt;0,(SUM($B$3:C3)-SUM($B$8:C8))/((SUM($B$8:C8))),0)</f>
        <v>0</v>
      </c>
      <c r="D13" s="183">
        <f>IF(SUM($B$8:D8)&lt;&gt;0,(SUM($B$3:D3)-SUM($B$8:D8))/((SUM($B$8:D8))),0)</f>
        <v>0</v>
      </c>
      <c r="E13" s="183">
        <f>IF(SUM($B$8:E8)&lt;&gt;0,(SUM($B$3:E3)-SUM($B$8:E8))/((SUM($B$8:E8))),0)</f>
        <v>0</v>
      </c>
      <c r="F13" s="183">
        <f>IF(SUM($B$8:F8)&lt;&gt;0,(SUM($B$3:F3)-SUM($B$8:F8))/((SUM($B$8:F8))),0)</f>
        <v>0</v>
      </c>
      <c r="G13" s="183">
        <f>IF(SUM($B$8:G8)&lt;&gt;0,(SUM($B$3:G3)-SUM($B$8:G8))/((SUM($B$8:G8))),0)</f>
        <v>0</v>
      </c>
      <c r="H13" s="183">
        <f>IF(SUM($B$8:H8)&lt;&gt;0,(SUM($B$3:H3)-SUM($B$8:H8))/((SUM($B$8:H8))),0)</f>
        <v>0</v>
      </c>
      <c r="I13" s="183">
        <f>IF(SUM($B$8:I8)&lt;&gt;0,(SUM($B$3:I3)-SUM($B$8:I8))/((SUM($B$8:I8))),0)</f>
        <v>0</v>
      </c>
      <c r="J13" s="184">
        <f>IF(SUM($B$8:J8)&lt;&gt;0,(SUM($B$3:J3)-SUM($B$8:J8))/((SUM($B$8:J8))),0)</f>
        <v>0</v>
      </c>
      <c r="K13" s="173"/>
      <c r="L13" s="173"/>
      <c r="M13" s="7"/>
    </row>
    <row r="14" spans="1:14" ht="15.75" thickBot="1" x14ac:dyDescent="0.3">
      <c r="A14" s="185"/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7"/>
    </row>
    <row r="15" spans="1:14" ht="30" x14ac:dyDescent="0.25">
      <c r="A15" s="254" t="s">
        <v>84</v>
      </c>
      <c r="B15" s="255"/>
      <c r="C15" s="256"/>
      <c r="D15" s="256"/>
      <c r="E15" s="256"/>
      <c r="F15" s="256"/>
      <c r="G15" s="256"/>
      <c r="H15" s="256"/>
      <c r="I15" s="256"/>
      <c r="J15" s="257"/>
      <c r="K15" s="6"/>
      <c r="L15" s="6"/>
    </row>
    <row r="16" spans="1:14" ht="16.5" thickBot="1" x14ac:dyDescent="0.3">
      <c r="A16" s="258" t="s">
        <v>76</v>
      </c>
      <c r="B16" s="259"/>
      <c r="C16" s="60"/>
      <c r="D16" s="60"/>
      <c r="E16" s="60"/>
      <c r="F16" s="60"/>
      <c r="G16" s="124"/>
      <c r="H16" s="124"/>
      <c r="I16" s="124"/>
      <c r="J16" s="260"/>
    </row>
  </sheetData>
  <customSheetViews>
    <customSheetView guid="{BEA796F3-A52F-431A-AFFF-913FC1A42D3C}">
      <selection activeCell="G14" sqref="G14"/>
      <pageMargins left="0.7" right="0.7" top="0.75" bottom="0.75" header="0.3" footer="0.3"/>
      <pageSetup orientation="portrait" horizontalDpi="300" verticalDpi="300" r:id="rId1"/>
    </customSheetView>
  </customSheetViews>
  <pageMargins left="0.7" right="0.7" top="0.75" bottom="0.75" header="0.3" footer="0.3"/>
  <pageSetup orientation="portrait" horizontalDpi="300" verticalDpi="30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operator="lessThan" allowBlank="1" showInputMessage="1" showErrorMessage="1">
          <x14:formula1>
            <xm:f>Financistas!$B$3</xm:f>
          </x14:formula1>
          <xm:sqref>B3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</vt:i4>
      </vt:variant>
    </vt:vector>
  </HeadingPairs>
  <TitlesOfParts>
    <vt:vector size="15" baseType="lpstr">
      <vt:lpstr>Priorizar</vt:lpstr>
      <vt:lpstr>Proyecto</vt:lpstr>
      <vt:lpstr>Equipos</vt:lpstr>
      <vt:lpstr>Recursos de Trabajo</vt:lpstr>
      <vt:lpstr>Departamentos</vt:lpstr>
      <vt:lpstr>Tabla CostosProyDepto</vt:lpstr>
      <vt:lpstr>ConsolidaProyecto</vt:lpstr>
      <vt:lpstr>CostoxDepto</vt:lpstr>
      <vt:lpstr>FlujosCaja</vt:lpstr>
      <vt:lpstr>Financistas</vt:lpstr>
      <vt:lpstr>Tablas</vt:lpstr>
      <vt:lpstr>Contratistas</vt:lpstr>
      <vt:lpstr>FlujoCaja2</vt:lpstr>
      <vt:lpstr>Hoja1</vt:lpstr>
      <vt:lpstr>SALARIO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Estudiante</dc:creator>
  <cp:lastModifiedBy>Usuario</cp:lastModifiedBy>
  <dcterms:created xsi:type="dcterms:W3CDTF">2012-10-20T14:00:52Z</dcterms:created>
  <dcterms:modified xsi:type="dcterms:W3CDTF">2013-10-28T21:19:50Z</dcterms:modified>
</cp:coreProperties>
</file>