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9435" windowHeight="4050" tabRatio="964" firstSheet="2" activeTab="4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25725" concurrentCalc="0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2" r:id="rId15"/>
    <pivotCache cacheId="3" r:id="rId16"/>
  </pivotCaches>
</workbook>
</file>

<file path=xl/calcChain.xml><?xml version="1.0" encoding="utf-8"?>
<calcChain xmlns="http://schemas.openxmlformats.org/spreadsheetml/2006/main">
  <c r="C4" i="15"/>
  <c r="D4"/>
  <c r="E4"/>
  <c r="F4"/>
  <c r="G4"/>
  <c r="H4"/>
  <c r="I4"/>
  <c r="J4"/>
  <c r="K4"/>
  <c r="L4"/>
  <c r="M4"/>
  <c r="N4"/>
  <c r="B4"/>
  <c r="B11" i="10"/>
  <c r="B8"/>
  <c r="B3" i="6"/>
  <c r="B10"/>
  <c r="C3" i="7"/>
  <c r="G3" i="6"/>
  <c r="F4" i="4"/>
  <c r="E3"/>
  <c r="B12" i="10"/>
  <c r="C10" i="6"/>
  <c r="C9" i="14"/>
  <c r="C8"/>
  <c r="C9" i="6"/>
  <c r="D16" i="9"/>
  <c r="D18"/>
  <c r="D20"/>
  <c r="D22"/>
  <c r="I11" i="8"/>
  <c r="I2"/>
  <c r="C5" i="3"/>
  <c r="H11" i="6"/>
  <c r="F11"/>
  <c r="M9" i="14"/>
  <c r="J10"/>
  <c r="K10"/>
  <c r="L10"/>
  <c r="B10"/>
  <c r="B3"/>
  <c r="M8"/>
  <c r="B11"/>
  <c r="F1"/>
  <c r="P1" i="1"/>
  <c r="P8"/>
  <c r="P6"/>
  <c r="P5"/>
  <c r="M8" i="2"/>
  <c r="M9"/>
  <c r="M10"/>
  <c r="M11"/>
  <c r="M5"/>
  <c r="M6"/>
  <c r="M7"/>
  <c r="M4"/>
  <c r="C10" i="14"/>
  <c r="C11"/>
  <c r="C13" i="10"/>
  <c r="B13"/>
  <c r="D10" i="14"/>
  <c r="D11"/>
  <c r="E10"/>
  <c r="C3" i="6"/>
  <c r="C4"/>
  <c r="C5"/>
  <c r="C6"/>
  <c r="C7"/>
  <c r="C8"/>
  <c r="C8" i="8"/>
  <c r="C10"/>
  <c r="E3" i="6"/>
  <c r="I3"/>
  <c r="C3" i="8"/>
  <c r="C5"/>
  <c r="C9"/>
  <c r="C7"/>
  <c r="D10"/>
  <c r="D13" i="10"/>
  <c r="J11" i="14"/>
  <c r="E11"/>
  <c r="F10"/>
  <c r="F1" i="10"/>
  <c r="D8" i="9"/>
  <c r="D15"/>
  <c r="D9" i="8"/>
  <c r="D21" i="9"/>
  <c r="D5" i="8"/>
  <c r="D17" i="9"/>
  <c r="D4" i="8"/>
  <c r="D7" i="9"/>
  <c r="E5" i="8"/>
  <c r="D8"/>
  <c r="D6"/>
  <c r="E8"/>
  <c r="D10" i="9"/>
  <c r="D9"/>
  <c r="E7" i="8"/>
  <c r="E10"/>
  <c r="D12" i="9"/>
  <c r="E9" i="8"/>
  <c r="D11" i="9"/>
  <c r="E13" i="10"/>
  <c r="F13"/>
  <c r="F11" i="14"/>
  <c r="G10"/>
  <c r="K11"/>
  <c r="L11"/>
  <c r="E1" i="7"/>
  <c r="E6" i="8"/>
  <c r="D3"/>
  <c r="D7"/>
  <c r="D19" i="9"/>
  <c r="E4" i="8"/>
  <c r="D6" i="9"/>
  <c r="E3" i="8"/>
  <c r="D5" i="9"/>
  <c r="G11" i="14"/>
  <c r="I2" i="2"/>
  <c r="D4" i="9"/>
  <c r="H10" i="14"/>
  <c r="H11"/>
  <c r="I10"/>
  <c r="I11"/>
  <c r="G13" i="10"/>
  <c r="C9" i="3"/>
  <c r="C6"/>
  <c r="C7"/>
  <c r="C8"/>
  <c r="C13"/>
  <c r="J13" i="10"/>
  <c r="I13"/>
  <c r="H13"/>
  <c r="D14" i="14"/>
  <c r="C14"/>
  <c r="B14"/>
  <c r="C11" i="3"/>
  <c r="C16"/>
  <c r="B9" i="10"/>
  <c r="D11"/>
  <c r="C11"/>
  <c r="D34" i="8"/>
  <c r="D33"/>
  <c r="D31"/>
  <c r="D30"/>
  <c r="D29"/>
  <c r="D28"/>
  <c r="D27"/>
  <c r="D26"/>
  <c r="D25"/>
  <c r="D23"/>
  <c r="D22"/>
  <c r="D21"/>
  <c r="D20"/>
  <c r="D19"/>
  <c r="D18"/>
  <c r="D17"/>
  <c r="D15"/>
  <c r="D14"/>
  <c r="D13"/>
  <c r="D12"/>
  <c r="D11"/>
  <c r="D11" i="6"/>
  <c r="C6" i="8"/>
  <c r="C4"/>
  <c r="D14" i="9"/>
  <c r="D13"/>
</calcChain>
</file>

<file path=xl/sharedStrings.xml><?xml version="1.0" encoding="utf-8"?>
<sst xmlns="http://schemas.openxmlformats.org/spreadsheetml/2006/main" count="395" uniqueCount="212">
  <si>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</si>
  <si>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</si>
  <si>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</si>
  <si>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</si>
  <si>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</si>
  <si>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</si>
  <si>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</si>
  <si>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</si>
  <si>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</si>
  <si>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</si>
  <si>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</si>
  <si>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</si>
  <si>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</si>
  <si>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</si>
  <si>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</si>
  <si>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</si>
  <si>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</si>
  <si>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</si>
  <si>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</si>
  <si>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</si>
  <si>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</si>
  <si>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</si>
  <si>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</si>
  <si>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</si>
  <si>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</si>
  <si>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</si>
  <si>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</si>
  <si>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</si>
  <si>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</si>
  <si>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</si>
  <si>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</si>
  <si>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</si>
  <si>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</si>
  <si>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</si>
  <si>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</si>
  <si>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</si>
  <si>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</si>
  <si>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</si>
  <si>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</si>
  <si>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</si>
  <si>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</si>
  <si>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</si>
  <si>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</si>
  <si>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</si>
  <si>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</si>
  <si>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</si>
  <si>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</si>
  <si>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</si>
  <si>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</si>
  <si>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</si>
  <si>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</si>
  <si>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</si>
  <si>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</si>
  <si>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</si>
  <si>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</si>
  <si>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</si>
  <si>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</si>
  <si>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</si>
  <si>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</si>
  <si>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</si>
  <si>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</si>
  <si>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</si>
  <si>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</si>
  <si>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</si>
  <si>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</si>
  <si>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</si>
  <si>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</si>
  <si>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</si>
  <si>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</si>
  <si>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</si>
  <si>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</si>
  <si>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</si>
  <si>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</si>
  <si>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</si>
  <si>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</si>
  <si>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</si>
  <si>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</si>
  <si>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</si>
  <si>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</si>
  <si>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</si>
  <si>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</si>
  <si>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</si>
  <si>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</si>
  <si>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</si>
  <si>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</si>
  <si>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</si>
  <si>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</si>
  <si>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</si>
  <si>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</si>
  <si>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</si>
  <si>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</si>
  <si>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</si>
  <si>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</si>
  <si>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</si>
  <si>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</si>
  <si>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</si>
  <si>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</si>
  <si>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</si>
  <si>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</si>
  <si>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</si>
  <si>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</si>
  <si>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</si>
  <si>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</si>
  <si>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</si>
  <si>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</si>
  <si>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</si>
  <si>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</si>
  <si>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</si>
  <si>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</si>
  <si>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</si>
  <si>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</si>
  <si>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</si>
  <si>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</si>
  <si>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</si>
  <si>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</si>
  <si>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</si>
  <si>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</si>
  <si>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</si>
  <si>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</si>
  <si>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</si>
  <si>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</si>
  <si>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</si>
  <si>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</si>
  <si>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</si>
  <si>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</si>
  <si>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</si>
  <si>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</si>
  <si>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</si>
  <si>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</si>
  <si>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</si>
  <si>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</si>
  <si>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</si>
  <si>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</si>
  <si>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</si>
  <si>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</si>
  <si>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</si>
  <si>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</si>
  <si>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</si>
  <si>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</si>
  <si>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</si>
  <si>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</si>
  <si>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</si>
  <si>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</si>
  <si>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</si>
  <si>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</si>
  <si>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</si>
  <si>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</si>
  <si>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</si>
  <si>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</si>
  <si>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</si>
  <si>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</si>
  <si>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</si>
  <si>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</si>
  <si>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</si>
  <si>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</si>
  <si>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</si>
  <si>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</si>
  <si>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</si>
  <si>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</si>
  <si>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</si>
  <si>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</si>
  <si>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</si>
  <si>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</si>
  <si>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</si>
  <si>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</si>
  <si>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</si>
  <si>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</si>
  <si>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</si>
  <si>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</si>
  <si>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</si>
  <si>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</si>
  <si>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</si>
  <si>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</si>
  <si>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</si>
  <si>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</si>
  <si>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</si>
  <si>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</si>
  <si>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</si>
  <si>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</si>
  <si>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</si>
  <si>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</si>
  <si>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</si>
  <si>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</si>
  <si>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</si>
  <si>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</si>
  <si>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</si>
  <si>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</si>
  <si>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</si>
  <si>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</si>
  <si>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</si>
  <si>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</si>
  <si>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</si>
  <si>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</si>
  <si>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</si>
  <si>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</si>
  <si>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</si>
  <si>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Mes 0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</si>
  <si>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</si>
  <si>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</si>
  <si>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</si>
  <si>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</si>
  <si>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</si>
  <si>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</si>
  <si>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</si>
  <si>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</si>
  <si>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</si>
  <si>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</si>
  <si>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</si>
  <si>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</si>
  <si>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TRABAJO PLANEADO (días)</t>
  </si>
  <si>
    <t xml:space="preserve">VARIABLE </t>
  </si>
  <si>
    <t>FIJO</t>
  </si>
</sst>
</file>

<file path=xl/styles.xml><?xml version="1.0" encoding="utf-8"?>
<styleSheet xmlns="http://schemas.openxmlformats.org/spreadsheetml/2006/main">
  <numFmts count="14">
    <numFmt numFmtId="6" formatCode="&quot;$&quot;\ #,##0_);[Red]\(&quot;$&quot;\ #,##0\)"/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81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166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2" xfId="0" applyNumberFormat="1" applyFill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6" fontId="0" fillId="3" borderId="8" xfId="0" applyNumberFormat="1" applyFill="1" applyBorder="1"/>
    <xf numFmtId="166" fontId="0" fillId="3" borderId="57" xfId="0" applyNumberFormat="1" applyFill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166" fontId="0" fillId="0" borderId="2" xfId="0" applyNumberFormat="1" applyBorder="1"/>
    <xf numFmtId="166" fontId="0" fillId="0" borderId="2" xfId="0" applyNumberFormat="1" applyFont="1" applyBorder="1"/>
    <xf numFmtId="166" fontId="0" fillId="0" borderId="1" xfId="0" applyNumberFormat="1" applyBorder="1"/>
    <xf numFmtId="166" fontId="0" fillId="3" borderId="7" xfId="0" applyNumberFormat="1" applyFill="1" applyBorder="1"/>
    <xf numFmtId="166" fontId="0" fillId="0" borderId="58" xfId="0" applyNumberFormat="1" applyBorder="1"/>
    <xf numFmtId="6" fontId="0" fillId="0" borderId="0" xfId="0" applyNumberFormat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ual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[ejercicio taller5.xlsx]Tabla CostosProyDepto!Tabla dinámica3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/>
        <c:shape val="cylinder"/>
        <c:axId val="123292672"/>
        <c:axId val="77350016"/>
        <c:axId val="0"/>
      </c:bar3DChart>
      <c:catAx>
        <c:axId val="123292672"/>
        <c:scaling>
          <c:orientation val="minMax"/>
        </c:scaling>
        <c:axPos val="b"/>
        <c:tickLblPos val="nextTo"/>
        <c:crossAx val="77350016"/>
        <c:crosses val="autoZero"/>
        <c:auto val="1"/>
        <c:lblAlgn val="ctr"/>
        <c:lblOffset val="100"/>
      </c:catAx>
      <c:valAx>
        <c:axId val="77350016"/>
        <c:scaling>
          <c:orientation val="minMax"/>
        </c:scaling>
        <c:axPos val="l"/>
        <c:majorGridlines/>
        <c:numFmt formatCode="General" sourceLinked="1"/>
        <c:tickLblPos val="nextTo"/>
        <c:crossAx val="123292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P8" sqref="P8"/>
    </sheetView>
  </sheetViews>
  <sheetFormatPr baseColWidth="10" defaultRowHeight="1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>
      <c r="B1" s="9"/>
      <c r="C1" s="9"/>
      <c r="D1" s="156">
        <v>0.4</v>
      </c>
      <c r="E1" s="9"/>
      <c r="F1" s="9"/>
      <c r="G1" s="9"/>
      <c r="H1" s="156">
        <v>0.3</v>
      </c>
      <c r="I1" s="9"/>
      <c r="J1" s="9"/>
      <c r="K1" s="156">
        <v>0.15</v>
      </c>
      <c r="L1" s="9"/>
      <c r="M1" s="9"/>
      <c r="N1" s="156">
        <v>0.15</v>
      </c>
      <c r="O1" s="9"/>
      <c r="P1" s="156">
        <f>SUM(D1,H1,K1,N1)</f>
        <v>1</v>
      </c>
    </row>
    <row r="2" spans="1:16" ht="16.5" thickBot="1">
      <c r="A2" s="269" t="s">
        <v>147</v>
      </c>
      <c r="B2" s="270" t="s">
        <v>171</v>
      </c>
      <c r="C2" s="271"/>
      <c r="D2" s="271"/>
      <c r="E2" s="271"/>
      <c r="F2" s="272"/>
      <c r="G2" s="273" t="s">
        <v>172</v>
      </c>
      <c r="H2" s="273"/>
      <c r="I2" s="273"/>
      <c r="J2" s="274" t="s">
        <v>173</v>
      </c>
      <c r="K2" s="274"/>
      <c r="L2" s="274"/>
      <c r="M2" s="275" t="s">
        <v>174</v>
      </c>
      <c r="N2" s="275"/>
      <c r="O2" s="275"/>
      <c r="P2" s="148" t="s">
        <v>153</v>
      </c>
    </row>
    <row r="3" spans="1:16" ht="45" customHeight="1">
      <c r="A3" s="269"/>
      <c r="B3" s="151" t="s">
        <v>158</v>
      </c>
      <c r="C3" s="155" t="s">
        <v>148</v>
      </c>
      <c r="D3" s="152" t="s">
        <v>170</v>
      </c>
      <c r="E3" s="152" t="s">
        <v>169</v>
      </c>
      <c r="F3" s="153" t="s">
        <v>168</v>
      </c>
      <c r="G3" s="152" t="s">
        <v>167</v>
      </c>
      <c r="H3" s="152" t="s">
        <v>166</v>
      </c>
      <c r="I3" s="152" t="s">
        <v>165</v>
      </c>
      <c r="J3" s="152" t="s">
        <v>164</v>
      </c>
      <c r="K3" s="152" t="s">
        <v>163</v>
      </c>
      <c r="L3" s="152" t="s">
        <v>162</v>
      </c>
      <c r="M3" s="152" t="s">
        <v>161</v>
      </c>
      <c r="N3" s="152" t="s">
        <v>160</v>
      </c>
      <c r="O3" s="154" t="s">
        <v>159</v>
      </c>
      <c r="P3" s="148"/>
    </row>
    <row r="4" spans="1:16" ht="18.75" customHeight="1">
      <c r="A4" s="269"/>
      <c r="B4" s="150">
        <v>0.15</v>
      </c>
      <c r="C4" s="150">
        <v>0.15</v>
      </c>
      <c r="D4" s="150">
        <v>0.15</v>
      </c>
      <c r="E4" s="150">
        <v>0.2</v>
      </c>
      <c r="F4" s="150">
        <v>0.35</v>
      </c>
      <c r="G4" s="150">
        <v>0.3</v>
      </c>
      <c r="H4" s="150">
        <v>0.3</v>
      </c>
      <c r="I4" s="150">
        <v>0.4</v>
      </c>
      <c r="J4" s="150">
        <v>0.2</v>
      </c>
      <c r="K4" s="150">
        <v>0.4</v>
      </c>
      <c r="L4" s="150">
        <v>0.4</v>
      </c>
      <c r="M4" s="150">
        <v>0.2</v>
      </c>
      <c r="N4" s="150">
        <v>0.4</v>
      </c>
      <c r="O4" s="150">
        <v>0.4</v>
      </c>
      <c r="P4" s="149"/>
    </row>
    <row r="5" spans="1:16" ht="15.7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5">
        <f>(B5*$B$4+C5*$C$4+D5*$D$4+E5*$E$4+F5*$F$4)*$D$1+(G5*$G$4+H5*$H$4+I5*$I$4)*$H$1+(J5*$J$4+K5*$K$4+L5*$L$4)*K1+(M5*$M$4+N5*$N$4+O5*$O$4)*$N$1</f>
        <v>3.8066666666666666</v>
      </c>
    </row>
    <row r="6" spans="1:16" ht="15.7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5">
        <f>(B6*$B$4+C6*$C$4+D6*$D$4+E6*$E$4+F6*$F$4)*$D$1+(G6*$G$4+H6*$H$4+I6*$I$4)*$H$1+(J6*$J$4+K6*$K$4+L6*$L$4)*K2+(M6*$M$4+N6*$N$4+O6*$O$4)*$N$1</f>
        <v>2.67</v>
      </c>
    </row>
    <row r="7" spans="1:16" ht="15.7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5">
        <v>3.45</v>
      </c>
    </row>
    <row r="8" spans="1:16" ht="15.7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5">
        <f>(B8*$B$4+C8*$C$4+D8*$D$4+E8*$E$4+F8*$F$4)*$D$1+(G8*$G$4+H8*$H$4+I8*$I$4)*$H$1+(J8*$J$4+K8*$K$4+L8*$L$4)*K4+(M8*$M$4+N8*$N$4+O8*$O$4)*$N$1</f>
        <v>5.2933333333333321</v>
      </c>
    </row>
    <row r="9" spans="1:16">
      <c r="D9"/>
      <c r="E9"/>
      <c r="F9"/>
    </row>
    <row r="10" spans="1:16">
      <c r="A10" s="142"/>
      <c r="B10" s="113"/>
      <c r="C10" s="113"/>
      <c r="D10" s="143"/>
      <c r="E10" s="143"/>
      <c r="F10" s="144"/>
      <c r="G10" s="113"/>
    </row>
    <row r="11" spans="1:16">
      <c r="A11" s="142"/>
      <c r="B11" s="113"/>
      <c r="C11" s="113"/>
      <c r="D11" s="143"/>
      <c r="E11" s="143"/>
      <c r="F11" s="144"/>
      <c r="G11" s="113"/>
    </row>
    <row r="12" spans="1:16">
      <c r="A12" s="142"/>
      <c r="B12" s="113"/>
      <c r="C12" s="113"/>
      <c r="D12" s="143"/>
      <c r="E12" s="143"/>
      <c r="F12" s="144"/>
      <c r="G12" s="113"/>
    </row>
    <row r="13" spans="1:16">
      <c r="A13" s="142"/>
      <c r="B13" s="113"/>
      <c r="C13" s="113"/>
      <c r="D13" s="143"/>
      <c r="E13" s="143"/>
      <c r="F13" s="144"/>
      <c r="G13" s="113"/>
    </row>
    <row r="14" spans="1:16">
      <c r="A14" s="142"/>
      <c r="B14" s="113"/>
      <c r="C14" s="113"/>
      <c r="D14" s="143"/>
      <c r="E14" s="143"/>
      <c r="F14" s="144"/>
      <c r="G14" s="113"/>
    </row>
    <row r="15" spans="1:16">
      <c r="A15" s="142"/>
      <c r="B15" s="113"/>
      <c r="C15" s="113"/>
      <c r="D15" s="143"/>
      <c r="E15" s="143"/>
      <c r="F15" s="144"/>
      <c r="G15" s="113"/>
    </row>
    <row r="16" spans="1:16">
      <c r="A16" s="142"/>
      <c r="B16" s="113"/>
      <c r="C16" s="113"/>
      <c r="D16" s="143"/>
      <c r="E16" s="143"/>
      <c r="F16" s="144"/>
      <c r="G16" s="113"/>
    </row>
    <row r="17" spans="4:6">
      <c r="D17" s="5"/>
      <c r="E17" s="5"/>
      <c r="F17" s="4"/>
    </row>
    <row r="18" spans="4:6">
      <c r="D18" s="5"/>
      <c r="E18" s="5"/>
      <c r="F18" s="4"/>
    </row>
    <row r="19" spans="4:6">
      <c r="D19" s="5"/>
    </row>
    <row r="20" spans="4:6">
      <c r="D20" s="5"/>
    </row>
    <row r="21" spans="4:6">
      <c r="D21" s="5"/>
    </row>
    <row r="22" spans="4:6">
      <c r="D22" s="5"/>
    </row>
    <row r="23" spans="4:6">
      <c r="D23" s="5"/>
    </row>
    <row r="24" spans="4:6">
      <c r="D24" s="5"/>
    </row>
    <row r="25" spans="4:6">
      <c r="D25" s="5"/>
    </row>
    <row r="26" spans="4:6">
      <c r="D26" s="5"/>
    </row>
    <row r="27" spans="4:6">
      <c r="D27" s="5"/>
    </row>
    <row r="28" spans="4:6">
      <c r="D28" s="5"/>
    </row>
    <row r="29" spans="4:6">
      <c r="D29" s="5"/>
    </row>
    <row r="30" spans="4:6">
      <c r="D30" s="5"/>
    </row>
    <row r="31" spans="4:6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baseColWidth="10" defaultRowHeight="1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>
      <c r="A1" s="90" t="s">
        <v>56</v>
      </c>
      <c r="B1" s="280" t="s">
        <v>61</v>
      </c>
      <c r="C1" s="280"/>
      <c r="D1" s="90"/>
      <c r="E1" s="280" t="s">
        <v>62</v>
      </c>
      <c r="F1" s="280"/>
      <c r="G1" s="90"/>
      <c r="H1" s="280" t="s">
        <v>63</v>
      </c>
      <c r="I1" s="280"/>
      <c r="J1" s="86"/>
    </row>
    <row r="2" spans="1:10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1" sqref="B1:C9"/>
    </sheetView>
  </sheetViews>
  <sheetFormatPr baseColWidth="10" defaultRowHeight="1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>
      <c r="A1" s="37" t="s">
        <v>48</v>
      </c>
      <c r="B1" s="52" t="s">
        <v>9</v>
      </c>
      <c r="C1" s="53" t="s">
        <v>0</v>
      </c>
      <c r="D1" s="38"/>
      <c r="E1" s="187" t="s">
        <v>79</v>
      </c>
      <c r="F1" s="189" t="s">
        <v>125</v>
      </c>
    </row>
    <row r="2" spans="1:6">
      <c r="A2" s="186" t="s">
        <v>181</v>
      </c>
      <c r="B2" s="54">
        <v>1</v>
      </c>
      <c r="C2" s="55" t="s">
        <v>18</v>
      </c>
      <c r="E2" s="186" t="s">
        <v>66</v>
      </c>
      <c r="F2" s="190" t="s">
        <v>126</v>
      </c>
    </row>
    <row r="3" spans="1:6" ht="15.75" thickBot="1">
      <c r="A3" s="50"/>
      <c r="B3" s="54">
        <v>2</v>
      </c>
      <c r="C3" s="55" t="s">
        <v>154</v>
      </c>
      <c r="E3" s="188" t="s">
        <v>53</v>
      </c>
      <c r="F3" s="190" t="s">
        <v>127</v>
      </c>
    </row>
    <row r="4" spans="1:6" ht="15.75" thickBot="1">
      <c r="A4" s="50"/>
      <c r="B4" s="54">
        <v>3</v>
      </c>
      <c r="C4" s="55" t="s">
        <v>180</v>
      </c>
      <c r="F4" s="191" t="s">
        <v>182</v>
      </c>
    </row>
    <row r="5" spans="1:6">
      <c r="A5" s="50"/>
      <c r="B5" s="54">
        <v>4</v>
      </c>
      <c r="C5" s="55" t="s">
        <v>20</v>
      </c>
    </row>
    <row r="6" spans="1:6">
      <c r="A6" s="50"/>
      <c r="B6" s="54">
        <v>5</v>
      </c>
      <c r="C6" s="55" t="s">
        <v>21</v>
      </c>
    </row>
    <row r="7" spans="1:6" ht="15.75" thickBot="1">
      <c r="A7" s="51"/>
      <c r="B7" s="54">
        <v>6</v>
      </c>
      <c r="C7" s="55" t="s">
        <v>22</v>
      </c>
    </row>
    <row r="8" spans="1:6">
      <c r="B8" s="54">
        <v>7</v>
      </c>
      <c r="C8" s="55" t="s">
        <v>23</v>
      </c>
    </row>
    <row r="9" spans="1:6" ht="15.75" thickBot="1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C1" workbookViewId="0">
      <selection activeCell="A2" sqref="A2"/>
    </sheetView>
  </sheetViews>
  <sheetFormatPr baseColWidth="10" defaultRowHeight="1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6"/>
  <sheetViews>
    <sheetView topLeftCell="A2" workbookViewId="0">
      <selection activeCell="L18" sqref="L18"/>
    </sheetView>
  </sheetViews>
  <sheetFormatPr baseColWidth="10" defaultRowHeight="1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>
      <c r="C1" t="s">
        <v>128</v>
      </c>
      <c r="E1" t="s">
        <v>112</v>
      </c>
      <c r="F1" s="3">
        <f ca="1">TODAY()</f>
        <v>41590</v>
      </c>
    </row>
    <row r="2" spans="1:13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3" t="s">
        <v>28</v>
      </c>
    </row>
    <row r="3" spans="1:13" ht="15.75" thickBot="1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>
      <c r="A11" s="36" t="s">
        <v>1</v>
      </c>
      <c r="B11" s="164">
        <f>B3-B10</f>
        <v>0</v>
      </c>
      <c r="C11" s="164">
        <f t="shared" ref="C11:L11" si="1">C3-C10</f>
        <v>0</v>
      </c>
      <c r="D11" s="164">
        <f t="shared" si="1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</row>
    <row r="12" spans="1:13" ht="15.75" thickBot="1">
      <c r="A12" s="38" t="s">
        <v>175</v>
      </c>
      <c r="B12" s="166">
        <v>0</v>
      </c>
      <c r="C12" s="167" t="s">
        <v>176</v>
      </c>
      <c r="D12" s="168">
        <v>0.01</v>
      </c>
      <c r="E12" s="167" t="s">
        <v>177</v>
      </c>
      <c r="F12" s="165">
        <v>1</v>
      </c>
      <c r="G12" s="165"/>
      <c r="H12" s="165"/>
      <c r="I12" s="165"/>
      <c r="J12" s="165"/>
      <c r="K12" s="165"/>
      <c r="L12" s="165"/>
    </row>
    <row r="13" spans="1:13" ht="15.75" thickBot="1">
      <c r="A13" t="s">
        <v>77</v>
      </c>
      <c r="B13" s="2"/>
      <c r="C13" s="2"/>
      <c r="D13" s="2"/>
      <c r="E13" s="7"/>
      <c r="F13" s="7"/>
      <c r="I13" s="8"/>
    </row>
    <row r="14" spans="1:13">
      <c r="A14" s="44" t="s">
        <v>78</v>
      </c>
      <c r="B14" s="158">
        <f>NPV(B13,$C$11:$L$11)+$B$11</f>
        <v>0</v>
      </c>
      <c r="C14" s="158">
        <f>NPV(C13,$C$11:$L$11)+$B$11</f>
        <v>0</v>
      </c>
      <c r="D14" s="159">
        <f>NPV(D13,$C$11:$L$11)+$B$11</f>
        <v>0</v>
      </c>
      <c r="E14" s="7"/>
      <c r="F14" s="7"/>
      <c r="I14" s="8"/>
    </row>
    <row r="15" spans="1:13" ht="16.5" thickBot="1">
      <c r="A15" s="59" t="s">
        <v>2</v>
      </c>
      <c r="B15" s="60"/>
      <c r="C15" s="157"/>
      <c r="D15" s="61"/>
      <c r="E15" s="7"/>
      <c r="F15" s="7"/>
    </row>
    <row r="16" spans="1:13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G9" sqref="G9"/>
    </sheetView>
  </sheetViews>
  <sheetFormatPr baseColWidth="10" defaultRowHeight="15"/>
  <cols>
    <col min="2" max="2" width="13" bestFit="1" customWidth="1"/>
  </cols>
  <sheetData>
    <row r="1" spans="1:14">
      <c r="A1" s="243"/>
      <c r="B1" s="206" t="s">
        <v>196</v>
      </c>
      <c r="C1" s="206" t="s">
        <v>197</v>
      </c>
      <c r="D1" s="206" t="s">
        <v>198</v>
      </c>
      <c r="E1" s="206" t="s">
        <v>199</v>
      </c>
      <c r="F1" s="206" t="s">
        <v>200</v>
      </c>
      <c r="G1" s="206" t="s">
        <v>201</v>
      </c>
      <c r="H1" s="206" t="s">
        <v>202</v>
      </c>
      <c r="I1" s="206" t="s">
        <v>203</v>
      </c>
      <c r="J1" s="206" t="s">
        <v>204</v>
      </c>
      <c r="K1" s="206" t="s">
        <v>205</v>
      </c>
      <c r="L1" s="206" t="s">
        <v>206</v>
      </c>
      <c r="M1" s="206" t="s">
        <v>207</v>
      </c>
      <c r="N1" s="206" t="s">
        <v>208</v>
      </c>
    </row>
    <row r="2" spans="1:14">
      <c r="A2" t="s">
        <v>210</v>
      </c>
      <c r="B2" s="29">
        <v>10000</v>
      </c>
      <c r="C2" s="268">
        <v>100000</v>
      </c>
      <c r="D2" s="268">
        <v>110000</v>
      </c>
      <c r="E2" s="268">
        <v>120000</v>
      </c>
      <c r="F2" s="268">
        <v>130000</v>
      </c>
      <c r="G2" s="268">
        <v>140000</v>
      </c>
      <c r="H2" s="268">
        <v>150000</v>
      </c>
      <c r="I2" s="268">
        <v>160000</v>
      </c>
      <c r="J2" s="268">
        <v>170000</v>
      </c>
      <c r="K2" s="268">
        <v>180000</v>
      </c>
      <c r="L2" s="268">
        <v>190000</v>
      </c>
      <c r="M2" s="268">
        <v>200000</v>
      </c>
      <c r="N2" s="268">
        <v>210000</v>
      </c>
    </row>
    <row r="3" spans="1:14">
      <c r="A3" t="s">
        <v>211</v>
      </c>
      <c r="B3" s="268">
        <v>35000</v>
      </c>
      <c r="C3" s="268">
        <v>35000</v>
      </c>
      <c r="D3" s="268">
        <v>35000</v>
      </c>
      <c r="E3" s="268">
        <v>35000</v>
      </c>
      <c r="F3" s="268">
        <v>35000</v>
      </c>
      <c r="G3" s="268">
        <v>35000</v>
      </c>
      <c r="H3" s="268">
        <v>35000</v>
      </c>
      <c r="I3" s="268">
        <v>35000</v>
      </c>
      <c r="J3" s="268">
        <v>35000</v>
      </c>
      <c r="K3" s="268">
        <v>35000</v>
      </c>
      <c r="L3" s="268">
        <v>35000</v>
      </c>
      <c r="M3" s="268">
        <v>35000</v>
      </c>
      <c r="N3" s="268">
        <v>35000</v>
      </c>
    </row>
    <row r="4" spans="1:14">
      <c r="A4" t="s">
        <v>55</v>
      </c>
      <c r="B4" s="29">
        <f>SUM(B2:B3)</f>
        <v>45000</v>
      </c>
      <c r="C4" s="29">
        <f t="shared" ref="C4:N4" si="0">SUM(C2:C3)</f>
        <v>135000</v>
      </c>
      <c r="D4" s="29">
        <f t="shared" si="0"/>
        <v>145000</v>
      </c>
      <c r="E4" s="29">
        <f t="shared" si="0"/>
        <v>155000</v>
      </c>
      <c r="F4" s="29">
        <f t="shared" si="0"/>
        <v>165000</v>
      </c>
      <c r="G4" s="29">
        <f t="shared" si="0"/>
        <v>175000</v>
      </c>
      <c r="H4" s="29">
        <f t="shared" si="0"/>
        <v>185000</v>
      </c>
      <c r="I4" s="29">
        <f t="shared" si="0"/>
        <v>195000</v>
      </c>
      <c r="J4" s="29">
        <f t="shared" si="0"/>
        <v>205000</v>
      </c>
      <c r="K4" s="29">
        <f t="shared" si="0"/>
        <v>215000</v>
      </c>
      <c r="L4" s="29">
        <f t="shared" si="0"/>
        <v>225000</v>
      </c>
      <c r="M4" s="29">
        <f t="shared" si="0"/>
        <v>235000</v>
      </c>
      <c r="N4" s="29">
        <f t="shared" si="0"/>
        <v>245000</v>
      </c>
    </row>
    <row r="6" spans="1:14">
      <c r="A6" s="244"/>
      <c r="B6" s="2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K4" sqref="K4"/>
    </sheetView>
  </sheetViews>
  <sheetFormatPr baseColWidth="10" defaultRowHeight="1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>
      <c r="L1" s="147" t="s">
        <v>156</v>
      </c>
    </row>
    <row r="2" spans="1:18" ht="15.75" thickBot="1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41590</v>
      </c>
      <c r="J2" s="23"/>
      <c r="L2" s="147">
        <v>0.1</v>
      </c>
    </row>
    <row r="3" spans="1:18" ht="45.75" thickBot="1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09">
        <v>5000000</v>
      </c>
      <c r="M4" s="160">
        <f>H4+L4+(H4+L4)*$L$2</f>
        <v>55000000</v>
      </c>
    </row>
    <row r="5" spans="1:18" ht="19.5" customHeight="1" thickBot="1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0">
        <f t="shared" ref="M5:M11" si="0">H5+L5+(H5+L5)*$L$2</f>
        <v>0</v>
      </c>
    </row>
    <row r="6" spans="1:18" ht="15.75" thickBot="1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0">
        <f t="shared" si="0"/>
        <v>0</v>
      </c>
    </row>
    <row r="7" spans="1:18" ht="15.75" thickBot="1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0">
        <f t="shared" si="0"/>
        <v>0</v>
      </c>
    </row>
    <row r="8" spans="1:18" ht="15.75" thickBot="1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0">
        <f t="shared" si="0"/>
        <v>0</v>
      </c>
    </row>
    <row r="9" spans="1:18" ht="15.75" thickBot="1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0">
        <f t="shared" si="0"/>
        <v>0</v>
      </c>
    </row>
    <row r="10" spans="1:18" ht="15.75" thickBot="1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0">
        <f t="shared" si="0"/>
        <v>0</v>
      </c>
    </row>
    <row r="11" spans="1:18" ht="15.75" thickBot="1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1"/>
      <c r="M11" s="162">
        <f t="shared" si="0"/>
        <v>0</v>
      </c>
    </row>
    <row r="14" spans="1:18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>
      <c r="C22" s="7"/>
      <c r="D22" s="7"/>
      <c r="E22" s="7"/>
      <c r="F22" s="7"/>
      <c r="G22" s="7"/>
    </row>
    <row r="23" spans="1:11">
      <c r="D23" s="7"/>
      <c r="E23" s="7"/>
      <c r="F23" s="7"/>
      <c r="G23" s="7"/>
    </row>
    <row r="24" spans="1:11">
      <c r="C24" s="7"/>
      <c r="G24" s="7"/>
      <c r="H24" s="7"/>
      <c r="I24" s="7"/>
    </row>
    <row r="25" spans="1:11">
      <c r="C25" s="7"/>
      <c r="D25" s="7"/>
      <c r="E25" s="7"/>
      <c r="F25" s="7"/>
      <c r="G25" s="7"/>
    </row>
    <row r="26" spans="1:11">
      <c r="C26" s="7"/>
      <c r="D26" s="7"/>
      <c r="E26" s="7"/>
      <c r="F26" s="7"/>
      <c r="G26" s="7"/>
    </row>
    <row r="27" spans="1:11">
      <c r="C27" s="2"/>
      <c r="D27" s="7"/>
      <c r="E27" s="7"/>
      <c r="F27" s="7"/>
      <c r="G27" s="7"/>
    </row>
    <row r="28" spans="1:11">
      <c r="C28" s="7"/>
      <c r="D28" s="7"/>
      <c r="E28" s="7"/>
      <c r="F28" s="7"/>
      <c r="G28" s="7"/>
    </row>
    <row r="29" spans="1:11">
      <c r="C29" s="7"/>
      <c r="D29" s="7"/>
      <c r="E29" s="7"/>
      <c r="F29" s="7"/>
      <c r="G29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5" sqref="C5"/>
    </sheetView>
  </sheetViews>
  <sheetFormatPr baseColWidth="10" defaultRowHeight="1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>
      <c r="A1" t="s">
        <v>128</v>
      </c>
      <c r="B1" s="63" t="s">
        <v>86</v>
      </c>
      <c r="C1" s="64" t="s">
        <v>90</v>
      </c>
    </row>
    <row r="2" spans="1:7" ht="15.75" thickBot="1">
      <c r="A2" s="62"/>
      <c r="C2" s="192">
        <v>1900</v>
      </c>
      <c r="D2" s="62"/>
      <c r="E2" s="62"/>
      <c r="F2" s="62"/>
      <c r="G2" s="62"/>
    </row>
    <row r="3" spans="1:7" ht="15.75" thickBot="1">
      <c r="A3" s="65" t="s">
        <v>85</v>
      </c>
      <c r="B3" s="66"/>
      <c r="D3" s="203" t="s">
        <v>183</v>
      </c>
      <c r="E3" s="202"/>
      <c r="F3" s="62"/>
      <c r="G3" s="62"/>
    </row>
    <row r="4" spans="1:7" ht="26.25" thickBot="1">
      <c r="A4" s="67" t="s">
        <v>89</v>
      </c>
      <c r="B4" s="68" t="s">
        <v>87</v>
      </c>
      <c r="C4" s="193" t="s">
        <v>88</v>
      </c>
      <c r="D4" s="203" t="s">
        <v>94</v>
      </c>
      <c r="E4" s="202"/>
      <c r="F4" s="62"/>
      <c r="G4" s="62"/>
    </row>
    <row r="5" spans="1:7" ht="26.25" thickBot="1">
      <c r="A5" s="70" t="s">
        <v>96</v>
      </c>
      <c r="B5" s="69"/>
      <c r="C5" s="74">
        <f>B5*$B$2</f>
        <v>0</v>
      </c>
      <c r="D5" s="203" t="s">
        <v>8</v>
      </c>
      <c r="E5" s="202"/>
      <c r="F5" s="62"/>
      <c r="G5" s="62"/>
    </row>
    <row r="6" spans="1:7" ht="23.25" customHeight="1" thickBot="1">
      <c r="A6" s="70" t="s">
        <v>97</v>
      </c>
      <c r="B6" s="69"/>
      <c r="C6" s="74">
        <f t="shared" ref="C6:C9" si="0">B6*$B$5</f>
        <v>0</v>
      </c>
      <c r="D6" s="203" t="s">
        <v>95</v>
      </c>
      <c r="E6" s="202"/>
      <c r="F6" s="62"/>
      <c r="G6" s="62"/>
    </row>
    <row r="7" spans="1:7" ht="39" thickBot="1">
      <c r="A7" s="70" t="s">
        <v>98</v>
      </c>
      <c r="B7" s="69"/>
      <c r="C7" s="74">
        <f t="shared" si="0"/>
        <v>0</v>
      </c>
      <c r="D7" s="203" t="s">
        <v>185</v>
      </c>
      <c r="E7" s="196"/>
      <c r="F7" s="62"/>
      <c r="G7" s="62"/>
    </row>
    <row r="8" spans="1:7" ht="26.25" thickBot="1">
      <c r="A8" s="70" t="s">
        <v>99</v>
      </c>
      <c r="B8" s="69"/>
      <c r="C8" s="74">
        <f t="shared" si="0"/>
        <v>0</v>
      </c>
      <c r="D8" s="204" t="s">
        <v>92</v>
      </c>
      <c r="E8" s="202"/>
      <c r="F8" s="62"/>
      <c r="G8" s="62"/>
    </row>
    <row r="9" spans="1:7" ht="26.25" thickBot="1">
      <c r="A9" s="70" t="s">
        <v>100</v>
      </c>
      <c r="B9" s="72"/>
      <c r="C9" s="194">
        <f t="shared" si="0"/>
        <v>0</v>
      </c>
      <c r="D9" s="195" t="s">
        <v>93</v>
      </c>
      <c r="E9" s="199"/>
      <c r="F9" s="62"/>
      <c r="G9" s="62"/>
    </row>
    <row r="10" spans="1:7" ht="15.75" thickBot="1">
      <c r="A10" s="70" t="s">
        <v>101</v>
      </c>
      <c r="B10" s="72"/>
      <c r="C10" s="194"/>
      <c r="D10" s="195" t="s">
        <v>7</v>
      </c>
      <c r="E10" s="200"/>
      <c r="F10" s="62"/>
      <c r="G10" s="62"/>
    </row>
    <row r="11" spans="1:7" ht="26.25" thickBot="1">
      <c r="A11" s="70" t="s">
        <v>102</v>
      </c>
      <c r="B11" s="69"/>
      <c r="C11" s="74">
        <f>C5*0.1</f>
        <v>0</v>
      </c>
      <c r="D11" s="198" t="s">
        <v>184</v>
      </c>
      <c r="E11" s="197"/>
      <c r="F11" s="62"/>
      <c r="G11" s="62"/>
    </row>
    <row r="12" spans="1:7" ht="26.25" thickBot="1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>
      <c r="A17" s="62"/>
      <c r="B17" s="62"/>
      <c r="C17" s="62"/>
      <c r="D17" s="62"/>
      <c r="E17" s="62"/>
      <c r="F17" s="62"/>
      <c r="G17" s="62"/>
    </row>
    <row r="18" spans="1:7" ht="48" customHeight="1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>
      <c r="A19" s="201" t="s">
        <v>108</v>
      </c>
      <c r="B19" s="9"/>
      <c r="C19" s="78"/>
      <c r="D19" s="78"/>
      <c r="E19" s="78"/>
      <c r="F19" s="78"/>
      <c r="G19" s="78"/>
    </row>
    <row r="20" spans="1:7">
      <c r="A20" s="201" t="s">
        <v>109</v>
      </c>
      <c r="B20" s="9"/>
      <c r="C20" s="78"/>
      <c r="D20" s="78"/>
      <c r="E20" s="78"/>
      <c r="F20" s="78"/>
      <c r="G20" s="78"/>
    </row>
    <row r="21" spans="1:7">
      <c r="A21" s="201" t="s">
        <v>110</v>
      </c>
      <c r="B21" s="9"/>
      <c r="C21" s="78"/>
      <c r="D21" s="78"/>
      <c r="E21" s="78"/>
      <c r="F21" s="78"/>
      <c r="G21" s="78"/>
    </row>
    <row r="23" spans="1:7">
      <c r="B23" s="113"/>
    </row>
    <row r="24" spans="1:7">
      <c r="B24" s="113"/>
    </row>
    <row r="25" spans="1:7">
      <c r="B25" s="113"/>
    </row>
    <row r="26" spans="1:7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F4" sqref="F4"/>
    </sheetView>
  </sheetViews>
  <sheetFormatPr baseColWidth="10" defaultRowHeight="1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>
      <c r="B1" s="32" t="s">
        <v>128</v>
      </c>
      <c r="C1" s="49" t="s">
        <v>82</v>
      </c>
      <c r="F1" s="141">
        <v>0.05</v>
      </c>
      <c r="G1" s="141">
        <v>7.0000000000000007E-2</v>
      </c>
      <c r="H1" s="146">
        <v>0</v>
      </c>
    </row>
    <row r="2" spans="1:8" ht="30" customHeight="1" thickBot="1">
      <c r="A2" s="11" t="s">
        <v>9</v>
      </c>
      <c r="B2" s="12" t="s">
        <v>0</v>
      </c>
      <c r="C2" s="131" t="s">
        <v>195</v>
      </c>
      <c r="D2" s="132" t="s">
        <v>192</v>
      </c>
      <c r="E2" s="138" t="s">
        <v>10</v>
      </c>
      <c r="F2" s="132" t="s">
        <v>144</v>
      </c>
      <c r="G2" s="140" t="s">
        <v>145</v>
      </c>
      <c r="H2" s="9"/>
    </row>
    <row r="3" spans="1:8">
      <c r="A3" s="13"/>
      <c r="B3" s="245"/>
      <c r="C3" s="261"/>
      <c r="D3" s="133"/>
      <c r="E3" s="139">
        <f>+((D3+F3)*$H$2)/20</f>
        <v>0</v>
      </c>
      <c r="F3" s="15">
        <v>0</v>
      </c>
      <c r="G3" s="137"/>
    </row>
    <row r="4" spans="1:8">
      <c r="A4" s="13"/>
      <c r="B4" s="10"/>
      <c r="C4" s="261"/>
      <c r="D4" s="133"/>
      <c r="E4" s="139"/>
      <c r="F4" s="15">
        <f>IF(D4&lt;700000,D4*$F$1,IF(D4&lt;1000000,D4*$G$1,0))</f>
        <v>0</v>
      </c>
      <c r="G4" s="137"/>
    </row>
    <row r="5" spans="1:8">
      <c r="A5" s="13"/>
      <c r="B5" s="10"/>
      <c r="C5" s="261"/>
      <c r="D5" s="133"/>
      <c r="E5" s="139"/>
      <c r="F5" s="15"/>
      <c r="G5" s="137"/>
    </row>
    <row r="6" spans="1:8">
      <c r="A6" s="13"/>
      <c r="B6" s="10"/>
      <c r="C6" s="261"/>
      <c r="D6" s="133"/>
      <c r="E6" s="139"/>
      <c r="F6" s="15"/>
      <c r="G6" s="137"/>
    </row>
    <row r="7" spans="1:8">
      <c r="A7" s="14"/>
      <c r="B7" s="10"/>
      <c r="C7" s="261"/>
      <c r="D7" s="133"/>
      <c r="E7" s="139"/>
      <c r="F7" s="15"/>
      <c r="G7" s="137"/>
    </row>
    <row r="8" spans="1:8">
      <c r="A8" s="13"/>
      <c r="B8" s="10"/>
      <c r="C8" s="262"/>
      <c r="D8" s="133"/>
      <c r="E8" s="139"/>
      <c r="F8" s="15"/>
      <c r="G8" s="137"/>
    </row>
    <row r="9" spans="1:8">
      <c r="A9" s="213" t="s">
        <v>11</v>
      </c>
      <c r="B9" s="10"/>
      <c r="C9" s="262"/>
      <c r="D9" s="215"/>
      <c r="E9" s="139"/>
      <c r="F9" s="15"/>
      <c r="G9" s="137"/>
    </row>
    <row r="10" spans="1:8">
      <c r="A10" s="213" t="s">
        <v>12</v>
      </c>
      <c r="B10" s="10"/>
      <c r="C10" s="262"/>
      <c r="D10" s="215"/>
      <c r="E10" s="139"/>
      <c r="F10" s="15"/>
      <c r="G10" s="137"/>
    </row>
    <row r="11" spans="1:8">
      <c r="A11" s="246" t="s">
        <v>13</v>
      </c>
      <c r="B11" s="247"/>
      <c r="C11" s="248"/>
      <c r="D11" s="249"/>
      <c r="E11" s="250"/>
      <c r="F11" s="251"/>
      <c r="G11" s="137"/>
    </row>
    <row r="12" spans="1:8">
      <c r="A12" s="246" t="s">
        <v>14</v>
      </c>
      <c r="B12" s="247"/>
      <c r="C12" s="248"/>
      <c r="D12" s="249"/>
      <c r="E12" s="250"/>
      <c r="F12" s="251"/>
      <c r="G12" s="137"/>
    </row>
    <row r="13" spans="1:8">
      <c r="A13" s="246" t="s">
        <v>15</v>
      </c>
      <c r="B13" s="247"/>
      <c r="C13" s="248"/>
      <c r="D13" s="249"/>
      <c r="E13" s="250"/>
      <c r="F13" s="251"/>
      <c r="G13" s="137"/>
    </row>
    <row r="14" spans="1:8">
      <c r="A14" s="246" t="s">
        <v>12</v>
      </c>
      <c r="B14" s="247"/>
      <c r="C14" s="248"/>
      <c r="D14" s="249"/>
      <c r="E14" s="250"/>
      <c r="F14" s="251"/>
      <c r="G14" s="137"/>
    </row>
    <row r="15" spans="1:8">
      <c r="A15" s="252" t="s">
        <v>16</v>
      </c>
      <c r="B15" s="247"/>
      <c r="C15" s="253"/>
      <c r="D15" s="249"/>
      <c r="E15" s="250"/>
      <c r="F15" s="251"/>
      <c r="G15" s="137"/>
    </row>
    <row r="16" spans="1:8">
      <c r="A16" s="252" t="s">
        <v>17</v>
      </c>
      <c r="B16" s="247"/>
      <c r="C16" s="253"/>
      <c r="D16" s="249"/>
      <c r="E16" s="250"/>
      <c r="F16" s="251"/>
      <c r="G16" s="137"/>
    </row>
    <row r="18" spans="2:2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E11" sqref="E11"/>
    </sheetView>
  </sheetViews>
  <sheetFormatPr baseColWidth="10" defaultRowHeight="1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>
      <c r="B1" s="207" t="s">
        <v>128</v>
      </c>
      <c r="C1" s="206"/>
      <c r="D1" s="206" t="s">
        <v>112</v>
      </c>
      <c r="E1" s="18">
        <f ca="1">TODAY()</f>
        <v>41590</v>
      </c>
    </row>
    <row r="2" spans="1:5" ht="45">
      <c r="A2" s="17" t="s">
        <v>9</v>
      </c>
      <c r="B2" s="17" t="s">
        <v>0</v>
      </c>
      <c r="C2" s="134" t="s">
        <v>135</v>
      </c>
      <c r="D2" s="134" t="s">
        <v>136</v>
      </c>
      <c r="E2" s="130" t="s">
        <v>137</v>
      </c>
    </row>
    <row r="3" spans="1:5">
      <c r="A3" s="9">
        <v>1</v>
      </c>
      <c r="B3" s="9"/>
      <c r="C3" s="263">
        <f>SUMIF(CostoxDepto!$B$3:$B$10,$B$3:$B$10,CostoxDepto!$E$3:$E$10)</f>
        <v>0</v>
      </c>
      <c r="D3" s="264"/>
      <c r="E3" s="264"/>
    </row>
    <row r="4" spans="1:5">
      <c r="A4" s="9">
        <v>2</v>
      </c>
      <c r="B4" s="9"/>
      <c r="C4" s="264"/>
      <c r="D4" s="264"/>
      <c r="E4" s="264"/>
    </row>
    <row r="5" spans="1:5">
      <c r="A5" s="9">
        <v>3</v>
      </c>
      <c r="B5" s="9"/>
      <c r="C5" s="264"/>
      <c r="D5" s="264"/>
      <c r="E5" s="264"/>
    </row>
    <row r="6" spans="1:5">
      <c r="A6" s="9">
        <v>4</v>
      </c>
      <c r="B6" s="9"/>
      <c r="C6" s="264"/>
      <c r="D6" s="264"/>
      <c r="E6" s="264"/>
    </row>
    <row r="7" spans="1:5">
      <c r="A7" s="9">
        <v>5</v>
      </c>
      <c r="B7" s="9"/>
      <c r="C7" s="264"/>
      <c r="D7" s="264"/>
      <c r="E7" s="264"/>
    </row>
    <row r="8" spans="1:5">
      <c r="A8" s="9">
        <v>6</v>
      </c>
      <c r="B8" s="9"/>
      <c r="C8" s="264"/>
      <c r="D8" s="264"/>
      <c r="E8" s="264"/>
    </row>
    <row r="9" spans="1:5">
      <c r="A9" s="9">
        <v>7</v>
      </c>
      <c r="B9" s="9"/>
      <c r="C9" s="264"/>
      <c r="D9" s="264"/>
      <c r="E9" s="264"/>
    </row>
    <row r="10" spans="1:5" ht="15.75" thickBot="1">
      <c r="A10" s="9">
        <v>8</v>
      </c>
      <c r="B10" s="79"/>
      <c r="C10" s="264"/>
      <c r="D10" s="264"/>
      <c r="E10" s="264"/>
    </row>
    <row r="11" spans="1:5" ht="15.75" thickBot="1">
      <c r="B11" s="128" t="s">
        <v>55</v>
      </c>
      <c r="C11" s="265"/>
      <c r="D11" s="264"/>
      <c r="E11" s="264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A3" sqref="A3:D40"/>
    </sheetView>
  </sheetViews>
  <sheetFormatPr baseColWidth="10" defaultRowHeight="1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>
      <c r="A3" s="20" t="s">
        <v>32</v>
      </c>
      <c r="B3" t="s">
        <v>187</v>
      </c>
      <c r="C3" t="s">
        <v>188</v>
      </c>
      <c r="D3" s="231" t="s">
        <v>189</v>
      </c>
    </row>
    <row r="4" spans="1:4" ht="15.75" thickBot="1">
      <c r="A4" s="221" t="s">
        <v>130</v>
      </c>
      <c r="B4" s="230">
        <v>265620100</v>
      </c>
      <c r="C4" s="230">
        <v>248023000</v>
      </c>
      <c r="D4" s="232">
        <f>SUM(D5:D12)</f>
        <v>0</v>
      </c>
    </row>
    <row r="5" spans="1:4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>
      <c r="A13" s="221" t="s">
        <v>29</v>
      </c>
      <c r="B13" s="230">
        <v>236710548</v>
      </c>
      <c r="C13" s="230">
        <v>287656900</v>
      </c>
      <c r="D13" s="232">
        <f>SUM(D14:D21)</f>
        <v>0</v>
      </c>
    </row>
    <row r="14" spans="1:4">
      <c r="A14" s="22" t="s">
        <v>24</v>
      </c>
      <c r="B14" s="129">
        <v>0</v>
      </c>
      <c r="C14" s="129">
        <v>0</v>
      </c>
      <c r="D14" s="6">
        <f>Departamentos!D11</f>
        <v>0</v>
      </c>
    </row>
    <row r="15" spans="1:4">
      <c r="A15" s="22" t="s">
        <v>21</v>
      </c>
      <c r="B15" s="129">
        <v>27570200</v>
      </c>
      <c r="C15" s="129">
        <v>29330000</v>
      </c>
      <c r="D15" s="129">
        <f>Departamentos!D3</f>
        <v>0</v>
      </c>
    </row>
    <row r="16" spans="1:4">
      <c r="A16" s="22" t="s">
        <v>154</v>
      </c>
      <c r="B16" s="129">
        <v>47856150</v>
      </c>
      <c r="C16" s="129">
        <v>31904100</v>
      </c>
      <c r="D16" s="6">
        <f>Departamentos!D13</f>
        <v>0</v>
      </c>
    </row>
    <row r="17" spans="1:4">
      <c r="A17" s="22" t="s">
        <v>20</v>
      </c>
      <c r="B17" s="129">
        <v>62620200</v>
      </c>
      <c r="C17" s="129">
        <v>52183500</v>
      </c>
      <c r="D17" s="129">
        <f>Departamentos!D5</f>
        <v>0</v>
      </c>
    </row>
    <row r="18" spans="1:4">
      <c r="A18" s="22" t="s">
        <v>19</v>
      </c>
      <c r="B18" s="129">
        <v>16904020</v>
      </c>
      <c r="C18" s="129">
        <v>24148600</v>
      </c>
      <c r="D18" s="6">
        <f>Departamentos!D15</f>
        <v>0</v>
      </c>
    </row>
    <row r="19" spans="1:4">
      <c r="A19" s="22" t="s">
        <v>18</v>
      </c>
      <c r="B19" s="129">
        <v>40606778</v>
      </c>
      <c r="C19" s="129">
        <v>43198700</v>
      </c>
      <c r="D19" s="129">
        <f>Departamentos!D7</f>
        <v>0</v>
      </c>
    </row>
    <row r="20" spans="1:4">
      <c r="A20" s="22" t="s">
        <v>23</v>
      </c>
      <c r="B20" s="129">
        <v>41153200</v>
      </c>
      <c r="C20" s="129">
        <v>37412000</v>
      </c>
      <c r="D20" s="6">
        <f>Departamentos!D17</f>
        <v>0</v>
      </c>
    </row>
    <row r="21" spans="1:4" ht="15.75" thickBot="1">
      <c r="A21" s="22" t="s">
        <v>22</v>
      </c>
      <c r="B21" s="129">
        <v>0</v>
      </c>
      <c r="C21" s="129">
        <v>69480000</v>
      </c>
      <c r="D21" s="129">
        <f>Departamentos!D9</f>
        <v>0</v>
      </c>
    </row>
    <row r="22" spans="1:4" ht="15.75" thickBot="1">
      <c r="A22" s="221" t="s">
        <v>30</v>
      </c>
      <c r="B22" s="222">
        <v>288025643.40000004</v>
      </c>
      <c r="C22" s="222">
        <v>279605232</v>
      </c>
      <c r="D22" s="223">
        <f>SUM(D23:D30)</f>
        <v>271184820.60000002</v>
      </c>
    </row>
    <row r="23" spans="1:4">
      <c r="A23" s="22" t="s">
        <v>24</v>
      </c>
      <c r="B23" s="129">
        <v>125064000</v>
      </c>
      <c r="C23" s="129">
        <v>69480000</v>
      </c>
      <c r="D23" s="129">
        <v>13896000</v>
      </c>
    </row>
    <row r="24" spans="1:4">
      <c r="A24" s="22" t="s">
        <v>21</v>
      </c>
      <c r="B24" s="129">
        <v>22699684</v>
      </c>
      <c r="C24" s="129">
        <v>24148600</v>
      </c>
      <c r="D24" s="129">
        <v>25597516</v>
      </c>
    </row>
    <row r="25" spans="1:4">
      <c r="A25" s="22" t="s">
        <v>154</v>
      </c>
      <c r="B25" s="129">
        <v>31478250</v>
      </c>
      <c r="C25" s="129">
        <v>20985500</v>
      </c>
      <c r="D25" s="129">
        <v>10492750</v>
      </c>
    </row>
    <row r="26" spans="1:4">
      <c r="A26" s="22" t="s">
        <v>20</v>
      </c>
      <c r="B26" s="129">
        <v>35987824.799999997</v>
      </c>
      <c r="C26" s="129">
        <v>29989854</v>
      </c>
      <c r="D26" s="129">
        <v>23991883.199999999</v>
      </c>
    </row>
    <row r="27" spans="1:4">
      <c r="A27" s="22" t="s">
        <v>19</v>
      </c>
      <c r="B27" s="129">
        <v>28424744.599999998</v>
      </c>
      <c r="C27" s="129">
        <v>40606778</v>
      </c>
      <c r="D27" s="129">
        <v>52788811.399999999</v>
      </c>
    </row>
    <row r="28" spans="1:4">
      <c r="A28" s="22" t="s">
        <v>18</v>
      </c>
      <c r="B28" s="129">
        <v>12108140.000000002</v>
      </c>
      <c r="C28" s="129">
        <v>12881000.000000002</v>
      </c>
      <c r="D28" s="129">
        <v>13653860</v>
      </c>
    </row>
    <row r="29" spans="1:4">
      <c r="A29" s="22" t="s">
        <v>23</v>
      </c>
      <c r="B29" s="129">
        <v>32263000.000000004</v>
      </c>
      <c r="C29" s="129">
        <v>29330000</v>
      </c>
      <c r="D29" s="129">
        <v>26397000</v>
      </c>
    </row>
    <row r="30" spans="1:4" ht="15.75" thickBot="1">
      <c r="A30" s="22" t="s">
        <v>22</v>
      </c>
      <c r="B30" s="129">
        <v>0</v>
      </c>
      <c r="C30" s="129">
        <v>52183500</v>
      </c>
      <c r="D30" s="129">
        <v>104367000</v>
      </c>
    </row>
    <row r="31" spans="1:4" ht="15.75" thickBot="1">
      <c r="A31" s="221" t="s">
        <v>31</v>
      </c>
      <c r="B31" s="222">
        <v>197942626.69600001</v>
      </c>
      <c r="C31" s="222">
        <v>181890159.31999999</v>
      </c>
      <c r="D31" s="229"/>
    </row>
    <row r="32" spans="1:4">
      <c r="A32" s="22" t="s">
        <v>24</v>
      </c>
      <c r="B32" s="129">
        <v>68706668.376000002</v>
      </c>
      <c r="C32" s="129">
        <v>38170371.32</v>
      </c>
    </row>
    <row r="33" spans="1:3">
      <c r="A33" s="22" t="s">
        <v>21</v>
      </c>
      <c r="B33" s="129">
        <v>38170371.32</v>
      </c>
      <c r="C33" s="129">
        <v>40606778</v>
      </c>
    </row>
    <row r="34" spans="1:3">
      <c r="A34" s="22" t="s">
        <v>154</v>
      </c>
      <c r="B34" s="129">
        <v>0</v>
      </c>
      <c r="C34" s="129">
        <v>0</v>
      </c>
    </row>
    <row r="35" spans="1:3">
      <c r="A35" s="22" t="s">
        <v>20</v>
      </c>
      <c r="B35" s="129">
        <v>25182600</v>
      </c>
      <c r="C35" s="129">
        <v>20985500</v>
      </c>
    </row>
    <row r="36" spans="1:3">
      <c r="A36" s="22" t="s">
        <v>19</v>
      </c>
      <c r="B36" s="129">
        <v>9016700</v>
      </c>
      <c r="C36" s="129">
        <v>12881000.000000002</v>
      </c>
    </row>
    <row r="37" spans="1:3">
      <c r="A37" s="22" t="s">
        <v>18</v>
      </c>
      <c r="B37" s="129">
        <v>35167280</v>
      </c>
      <c r="C37" s="129">
        <v>37412000</v>
      </c>
    </row>
    <row r="38" spans="1:3">
      <c r="A38" s="22" t="s">
        <v>23</v>
      </c>
      <c r="B38" s="129">
        <v>21699007</v>
      </c>
      <c r="C38" s="129">
        <v>19726370</v>
      </c>
    </row>
    <row r="39" spans="1:3">
      <c r="A39" s="22" t="s">
        <v>22</v>
      </c>
      <c r="B39" s="129">
        <v>0</v>
      </c>
      <c r="C39" s="129">
        <v>12108140.000000002</v>
      </c>
    </row>
    <row r="40" spans="1:3">
      <c r="A40" s="21" t="s">
        <v>33</v>
      </c>
      <c r="B40" s="129">
        <v>988298918.09600008</v>
      </c>
      <c r="C40" s="129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" workbookViewId="0">
      <selection activeCell="E3" sqref="E3"/>
    </sheetView>
  </sheetViews>
  <sheetFormatPr baseColWidth="10" defaultRowHeight="1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>
      <c r="C1" s="276" t="s">
        <v>81</v>
      </c>
      <c r="D1" s="276"/>
      <c r="F1" s="20" t="s">
        <v>32</v>
      </c>
      <c r="G1" t="s">
        <v>34</v>
      </c>
      <c r="H1" t="s">
        <v>194</v>
      </c>
      <c r="I1" s="225" t="s">
        <v>193</v>
      </c>
    </row>
    <row r="2" spans="1:9" ht="15.75" thickBot="1">
      <c r="A2" s="17" t="s">
        <v>146</v>
      </c>
      <c r="B2" s="17" t="s">
        <v>19</v>
      </c>
      <c r="C2" s="17" t="s">
        <v>27</v>
      </c>
      <c r="D2" s="17" t="s">
        <v>190</v>
      </c>
      <c r="E2" s="224" t="s">
        <v>191</v>
      </c>
      <c r="F2" s="234" t="s">
        <v>128</v>
      </c>
      <c r="G2" s="233">
        <v>74973649.24675326</v>
      </c>
      <c r="H2" s="227">
        <v>84111872.727272719</v>
      </c>
      <c r="I2" s="226">
        <f>SUM(I3:I10)</f>
        <v>328668300</v>
      </c>
    </row>
    <row r="3" spans="1:9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29">
        <v>0</v>
      </c>
      <c r="H3" s="129">
        <v>12680181.818181818</v>
      </c>
      <c r="I3" s="220">
        <v>75905000</v>
      </c>
    </row>
    <row r="4" spans="1:9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29">
        <v>0</v>
      </c>
      <c r="H4" s="129">
        <v>28741745.454545457</v>
      </c>
      <c r="I4" s="218">
        <v>32636000</v>
      </c>
    </row>
    <row r="5" spans="1:9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29">
        <v>31385454.545454547</v>
      </c>
      <c r="H5" s="129">
        <v>10313214.545454547</v>
      </c>
      <c r="I5" s="218">
        <v>86972500</v>
      </c>
    </row>
    <row r="6" spans="1:9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29">
        <v>9107457.6623376776</v>
      </c>
      <c r="H6" s="129">
        <v>11412163.636363637</v>
      </c>
      <c r="I6" s="218">
        <v>92640000</v>
      </c>
    </row>
    <row r="7" spans="1:9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29">
        <v>25082930.493506487</v>
      </c>
      <c r="H7" s="129">
        <v>1352552.7272727273</v>
      </c>
      <c r="I7" s="218">
        <v>4190000</v>
      </c>
    </row>
    <row r="8" spans="1:9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29">
        <v>5458261.0909090908</v>
      </c>
      <c r="H8" s="129">
        <v>10566818.181818182</v>
      </c>
      <c r="I8" s="218">
        <v>21065800</v>
      </c>
    </row>
    <row r="9" spans="1:9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29">
        <v>3939545.4545454546</v>
      </c>
      <c r="H9" s="129">
        <v>1014414.5454545455</v>
      </c>
      <c r="I9" s="218">
        <v>15223000</v>
      </c>
    </row>
    <row r="10" spans="1:9" ht="15.75" thickBot="1">
      <c r="A10" s="208" t="s">
        <v>24</v>
      </c>
      <c r="B10" s="208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29">
        <v>0</v>
      </c>
      <c r="H10" s="129">
        <v>8030781.8181818184</v>
      </c>
      <c r="I10" s="219">
        <v>36000</v>
      </c>
    </row>
    <row r="11" spans="1:9" ht="15.75" thickBot="1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F11" s="234" t="s">
        <v>139</v>
      </c>
      <c r="G11" s="233">
        <v>255877800</v>
      </c>
      <c r="H11" s="227">
        <v>189041898</v>
      </c>
      <c r="I11" s="223">
        <f>SUM(I12:I19)</f>
        <v>385782900</v>
      </c>
    </row>
    <row r="12" spans="1:9">
      <c r="A12" s="9" t="s">
        <v>154</v>
      </c>
      <c r="B12" s="9" t="s">
        <v>139</v>
      </c>
      <c r="C12" s="19">
        <v>125000</v>
      </c>
      <c r="D12" s="19">
        <f>+C12*1.5</f>
        <v>187500</v>
      </c>
      <c r="F12" s="22" t="s">
        <v>24</v>
      </c>
      <c r="G12" s="129">
        <v>0</v>
      </c>
      <c r="H12" s="129">
        <v>0</v>
      </c>
      <c r="I12" s="220">
        <v>36000000</v>
      </c>
    </row>
    <row r="13" spans="1:9">
      <c r="A13" s="9" t="s">
        <v>19</v>
      </c>
      <c r="B13" s="9" t="s">
        <v>139</v>
      </c>
      <c r="C13" s="19">
        <v>24148600</v>
      </c>
      <c r="D13" s="19">
        <f>+C13*0.7</f>
        <v>16904020</v>
      </c>
      <c r="F13" s="22" t="s">
        <v>21</v>
      </c>
      <c r="G13" s="129">
        <v>29330000</v>
      </c>
      <c r="H13" s="129">
        <v>27570200</v>
      </c>
      <c r="I13" s="218">
        <v>75905000</v>
      </c>
    </row>
    <row r="14" spans="1:9">
      <c r="A14" s="9" t="s">
        <v>20</v>
      </c>
      <c r="B14" s="9" t="s">
        <v>139</v>
      </c>
      <c r="C14" s="19">
        <v>52183500</v>
      </c>
      <c r="D14" s="19">
        <f>+C14*1.2</f>
        <v>62620200</v>
      </c>
      <c r="F14" s="22" t="s">
        <v>20</v>
      </c>
      <c r="G14" s="129">
        <v>52183500</v>
      </c>
      <c r="H14" s="129">
        <v>62620200</v>
      </c>
      <c r="I14" s="218">
        <v>32636000</v>
      </c>
    </row>
    <row r="15" spans="1:9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F15" s="22" t="s">
        <v>154</v>
      </c>
      <c r="G15" s="129">
        <v>125000</v>
      </c>
      <c r="H15" s="129">
        <v>187500</v>
      </c>
      <c r="I15" s="218">
        <v>86972500</v>
      </c>
    </row>
    <row r="16" spans="1:9">
      <c r="A16" s="9" t="s">
        <v>22</v>
      </c>
      <c r="B16" s="9" t="s">
        <v>139</v>
      </c>
      <c r="C16" s="19">
        <v>69480000</v>
      </c>
      <c r="D16" s="19">
        <v>0</v>
      </c>
      <c r="F16" s="22" t="s">
        <v>19</v>
      </c>
      <c r="G16" s="129">
        <v>24148600</v>
      </c>
      <c r="H16" s="129">
        <v>16904020</v>
      </c>
      <c r="I16" s="218">
        <v>92640000</v>
      </c>
    </row>
    <row r="17" spans="1:9">
      <c r="A17" s="9" t="s">
        <v>23</v>
      </c>
      <c r="B17" s="9" t="s">
        <v>139</v>
      </c>
      <c r="C17" s="19">
        <v>37412000</v>
      </c>
      <c r="D17" s="19">
        <f>+C17*1.1</f>
        <v>41153200</v>
      </c>
      <c r="F17" s="22" t="s">
        <v>18</v>
      </c>
      <c r="G17" s="129">
        <v>43198700</v>
      </c>
      <c r="H17" s="129">
        <v>40606778</v>
      </c>
      <c r="I17" s="218">
        <v>4190000</v>
      </c>
    </row>
    <row r="18" spans="1:9" ht="15.75" thickBot="1">
      <c r="A18" s="208" t="s">
        <v>24</v>
      </c>
      <c r="B18" s="208" t="s">
        <v>139</v>
      </c>
      <c r="C18" s="19">
        <v>0</v>
      </c>
      <c r="D18" s="19">
        <f>+C18*1.8</f>
        <v>0</v>
      </c>
      <c r="F18" s="22" t="s">
        <v>23</v>
      </c>
      <c r="G18" s="129">
        <v>37412000</v>
      </c>
      <c r="H18" s="129">
        <v>41153200</v>
      </c>
      <c r="I18" s="129">
        <v>44894400</v>
      </c>
    </row>
    <row r="19" spans="1:9" ht="15.75" thickBot="1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F19" s="22" t="s">
        <v>22</v>
      </c>
      <c r="G19" s="129">
        <v>69480000</v>
      </c>
      <c r="H19" s="129">
        <v>0</v>
      </c>
      <c r="I19" s="219">
        <v>12545000</v>
      </c>
    </row>
    <row r="20" spans="1:9" ht="15.75" thickBot="1">
      <c r="A20" s="9" t="s">
        <v>154</v>
      </c>
      <c r="B20" s="9" t="s">
        <v>140</v>
      </c>
      <c r="C20" s="19">
        <v>20985500</v>
      </c>
      <c r="D20" s="19">
        <f>+C20*1.5</f>
        <v>31478250</v>
      </c>
      <c r="F20" s="234" t="s">
        <v>140</v>
      </c>
      <c r="G20" s="233">
        <v>279605232</v>
      </c>
      <c r="H20" s="227">
        <v>288025643.40000004</v>
      </c>
      <c r="I20" s="227"/>
    </row>
    <row r="21" spans="1:9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F21" s="22" t="s">
        <v>24</v>
      </c>
      <c r="G21" s="129">
        <v>69480000</v>
      </c>
      <c r="H21" s="129">
        <v>125064000</v>
      </c>
      <c r="I21" s="80">
        <v>7890000</v>
      </c>
    </row>
    <row r="22" spans="1:9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F22" s="22" t="s">
        <v>21</v>
      </c>
      <c r="G22" s="129">
        <v>24148600</v>
      </c>
      <c r="H22" s="129">
        <v>22699684</v>
      </c>
      <c r="I22" s="129">
        <v>21250768</v>
      </c>
    </row>
    <row r="23" spans="1:9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F23" s="22" t="s">
        <v>20</v>
      </c>
      <c r="G23" s="129">
        <v>29989854</v>
      </c>
      <c r="H23" s="129">
        <v>35987824.799999997</v>
      </c>
      <c r="I23" s="129">
        <v>4198579</v>
      </c>
    </row>
    <row r="24" spans="1:9">
      <c r="A24" s="9" t="s">
        <v>22</v>
      </c>
      <c r="B24" s="9" t="s">
        <v>140</v>
      </c>
      <c r="C24" s="19">
        <v>52183500</v>
      </c>
      <c r="D24" s="19">
        <v>0</v>
      </c>
      <c r="F24" s="22" t="s">
        <v>154</v>
      </c>
      <c r="G24" s="129">
        <v>20985500</v>
      </c>
      <c r="H24" s="129">
        <v>31478250</v>
      </c>
      <c r="I24" s="129">
        <v>419710</v>
      </c>
    </row>
    <row r="25" spans="1:9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F25" s="22" t="s">
        <v>19</v>
      </c>
      <c r="G25" s="129">
        <v>40606778</v>
      </c>
      <c r="H25" s="129">
        <v>28424744.599999998</v>
      </c>
      <c r="I25" s="228">
        <v>0</v>
      </c>
    </row>
    <row r="26" spans="1:9">
      <c r="A26" s="9" t="s">
        <v>24</v>
      </c>
      <c r="B26" s="9" t="s">
        <v>140</v>
      </c>
      <c r="C26" s="19">
        <v>69480000</v>
      </c>
      <c r="D26" s="19">
        <f>+C26*1.8</f>
        <v>125064000</v>
      </c>
      <c r="F26" s="22" t="s">
        <v>18</v>
      </c>
      <c r="G26" s="129">
        <v>12881000.000000002</v>
      </c>
      <c r="H26" s="129">
        <v>12108140.000000002</v>
      </c>
      <c r="I26" s="129">
        <v>11335280</v>
      </c>
    </row>
    <row r="27" spans="1:9">
      <c r="A27" s="9" t="s">
        <v>18</v>
      </c>
      <c r="B27" s="9" t="s">
        <v>141</v>
      </c>
      <c r="C27" s="19">
        <v>37412000</v>
      </c>
      <c r="D27" s="19">
        <f>+C27*0.94</f>
        <v>35167280</v>
      </c>
      <c r="F27" s="22" t="s">
        <v>23</v>
      </c>
      <c r="G27" s="129">
        <v>29330000</v>
      </c>
      <c r="H27" s="129">
        <v>32263000.000000004</v>
      </c>
      <c r="I27" s="129">
        <v>12500000</v>
      </c>
    </row>
    <row r="28" spans="1:9">
      <c r="A28" s="9" t="s">
        <v>154</v>
      </c>
      <c r="B28" s="9" t="s">
        <v>141</v>
      </c>
      <c r="C28" s="19">
        <v>0</v>
      </c>
      <c r="D28" s="19">
        <f>+C28*1.5</f>
        <v>0</v>
      </c>
      <c r="F28" s="22" t="s">
        <v>22</v>
      </c>
      <c r="G28" s="129">
        <v>52183500</v>
      </c>
      <c r="H28" s="129">
        <v>0</v>
      </c>
      <c r="I28" s="129">
        <v>0</v>
      </c>
    </row>
    <row r="29" spans="1:9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F29" s="21" t="s">
        <v>141</v>
      </c>
      <c r="G29" s="129">
        <v>181890159.31999999</v>
      </c>
      <c r="H29" s="129">
        <v>197942626.69600001</v>
      </c>
    </row>
    <row r="30" spans="1:9">
      <c r="A30" s="9" t="s">
        <v>20</v>
      </c>
      <c r="B30" s="9" t="s">
        <v>141</v>
      </c>
      <c r="C30" s="19">
        <v>20985500</v>
      </c>
      <c r="D30" s="19">
        <f>+C30*1.2</f>
        <v>25182600</v>
      </c>
      <c r="F30" s="22" t="s">
        <v>24</v>
      </c>
      <c r="G30" s="129">
        <v>38170371.32</v>
      </c>
      <c r="H30" s="129">
        <v>68706668.376000002</v>
      </c>
    </row>
    <row r="31" spans="1:9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F31" s="22" t="s">
        <v>21</v>
      </c>
      <c r="G31" s="129">
        <v>40606778</v>
      </c>
      <c r="H31" s="129">
        <v>38170371.32</v>
      </c>
    </row>
    <row r="32" spans="1:9">
      <c r="A32" s="9" t="s">
        <v>22</v>
      </c>
      <c r="B32" s="9" t="s">
        <v>141</v>
      </c>
      <c r="C32" s="19">
        <v>12108140.000000002</v>
      </c>
      <c r="D32" s="19">
        <v>0</v>
      </c>
      <c r="F32" s="22" t="s">
        <v>20</v>
      </c>
      <c r="G32" s="129">
        <v>20985500</v>
      </c>
      <c r="H32" s="129">
        <v>25182600</v>
      </c>
    </row>
    <row r="33" spans="1:8">
      <c r="A33" s="9" t="s">
        <v>23</v>
      </c>
      <c r="B33" s="9" t="s">
        <v>141</v>
      </c>
      <c r="C33" s="19">
        <v>19726370</v>
      </c>
      <c r="D33" s="19">
        <f>+C33*1.1</f>
        <v>21699007</v>
      </c>
      <c r="F33" s="22" t="s">
        <v>154</v>
      </c>
      <c r="G33" s="129">
        <v>0</v>
      </c>
      <c r="H33" s="129">
        <v>0</v>
      </c>
    </row>
    <row r="34" spans="1:8">
      <c r="A34" s="9" t="s">
        <v>24</v>
      </c>
      <c r="B34" s="9" t="s">
        <v>141</v>
      </c>
      <c r="C34" s="19">
        <v>38170371.32</v>
      </c>
      <c r="D34" s="19">
        <f>+C34*1.8</f>
        <v>68706668.376000002</v>
      </c>
      <c r="F34" s="22" t="s">
        <v>19</v>
      </c>
      <c r="G34" s="129">
        <v>12881000.000000002</v>
      </c>
      <c r="H34" s="129">
        <v>9016700</v>
      </c>
    </row>
    <row r="35" spans="1:8">
      <c r="F35" s="22" t="s">
        <v>18</v>
      </c>
      <c r="G35" s="129">
        <v>37412000</v>
      </c>
      <c r="H35" s="129">
        <v>35167280</v>
      </c>
    </row>
    <row r="36" spans="1:8">
      <c r="F36" s="22" t="s">
        <v>23</v>
      </c>
      <c r="G36" s="129">
        <v>19726370</v>
      </c>
      <c r="H36" s="129">
        <v>21699007</v>
      </c>
    </row>
    <row r="37" spans="1:8">
      <c r="F37" s="22" t="s">
        <v>22</v>
      </c>
      <c r="G37" s="129">
        <v>12108140.000000002</v>
      </c>
      <c r="H37" s="129">
        <v>0</v>
      </c>
    </row>
    <row r="38" spans="1:8">
      <c r="F38" s="21" t="s">
        <v>33</v>
      </c>
      <c r="G38" s="129">
        <v>792346840.56675327</v>
      </c>
      <c r="H38" s="129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E3" sqref="E3:E10"/>
    </sheetView>
  </sheetViews>
  <sheetFormatPr baseColWidth="10" defaultRowHeight="15"/>
  <cols>
    <col min="1" max="1" width="20.85546875" customWidth="1"/>
    <col min="2" max="2" width="16.140625" customWidth="1"/>
    <col min="3" max="3" width="12.140625" customWidth="1"/>
    <col min="4" max="4" width="10.85546875" customWidth="1"/>
    <col min="5" max="5" width="13.85546875" customWidth="1"/>
    <col min="6" max="6" width="10.85546875" customWidth="1"/>
    <col min="7" max="7" width="14" customWidth="1"/>
    <col min="8" max="8" width="11" customWidth="1"/>
    <col min="9" max="9" width="14.28515625" customWidth="1"/>
  </cols>
  <sheetData>
    <row r="1" spans="1:9" ht="16.5" thickBot="1">
      <c r="B1" s="205" t="s">
        <v>128</v>
      </c>
      <c r="C1" t="s">
        <v>26</v>
      </c>
      <c r="D1" s="277">
        <v>2013</v>
      </c>
      <c r="E1" s="278"/>
      <c r="F1" s="279">
        <v>2014</v>
      </c>
      <c r="G1" s="278"/>
      <c r="H1" s="279">
        <v>2015</v>
      </c>
      <c r="I1" s="278"/>
    </row>
    <row r="2" spans="1:9" ht="59.25" customHeight="1">
      <c r="A2" s="122" t="s">
        <v>0</v>
      </c>
      <c r="B2" s="135" t="s">
        <v>25</v>
      </c>
      <c r="C2" s="135" t="s">
        <v>10</v>
      </c>
      <c r="D2" s="135" t="s">
        <v>209</v>
      </c>
      <c r="E2" s="136" t="s">
        <v>138</v>
      </c>
      <c r="F2" s="210" t="s">
        <v>186</v>
      </c>
      <c r="G2" s="211" t="s">
        <v>138</v>
      </c>
      <c r="H2" s="210" t="s">
        <v>186</v>
      </c>
      <c r="I2" s="211" t="s">
        <v>138</v>
      </c>
    </row>
    <row r="3" spans="1:9">
      <c r="A3" s="10"/>
      <c r="B3" s="9" t="e">
        <f>LOOKUP('Recursos de Trabajo'!C3,Departamentos!$A$3:$B$10)</f>
        <v>#N/A</v>
      </c>
      <c r="C3" s="16">
        <f>'Recursos de Trabajo'!E3</f>
        <v>0</v>
      </c>
      <c r="D3" s="237"/>
      <c r="E3" s="123">
        <f>C3*D3</f>
        <v>0</v>
      </c>
      <c r="F3" s="237"/>
      <c r="G3" s="238">
        <f>F3*$D$3*1.05</f>
        <v>0</v>
      </c>
      <c r="H3" s="237"/>
      <c r="I3" s="238">
        <f>H3*$C$3*1.07</f>
        <v>0</v>
      </c>
    </row>
    <row r="4" spans="1:9">
      <c r="A4" s="10"/>
      <c r="B4" s="9"/>
      <c r="C4" s="16">
        <f>'Recursos de Trabajo'!E4</f>
        <v>0</v>
      </c>
      <c r="D4" s="236"/>
      <c r="E4" s="123"/>
      <c r="F4" s="236"/>
      <c r="G4" s="238"/>
      <c r="H4" s="236"/>
      <c r="I4" s="238"/>
    </row>
    <row r="5" spans="1:9">
      <c r="A5" s="10"/>
      <c r="B5" s="9"/>
      <c r="C5" s="16">
        <f>'Recursos de Trabajo'!E5</f>
        <v>0</v>
      </c>
      <c r="D5" s="236"/>
      <c r="E5" s="123"/>
      <c r="F5" s="237"/>
      <c r="G5" s="238"/>
      <c r="H5" s="237"/>
      <c r="I5" s="238"/>
    </row>
    <row r="6" spans="1:9">
      <c r="A6" s="10"/>
      <c r="B6" s="9"/>
      <c r="C6" s="16">
        <f>'Recursos de Trabajo'!E6</f>
        <v>0</v>
      </c>
      <c r="D6" s="236"/>
      <c r="E6" s="123"/>
      <c r="F6" s="236"/>
      <c r="G6" s="238"/>
      <c r="H6" s="236"/>
      <c r="I6" s="238"/>
    </row>
    <row r="7" spans="1:9">
      <c r="A7" s="10"/>
      <c r="B7" s="9"/>
      <c r="C7" s="16">
        <f>'Recursos de Trabajo'!E7</f>
        <v>0</v>
      </c>
      <c r="D7" s="236"/>
      <c r="E7" s="123"/>
      <c r="F7" s="237"/>
      <c r="G7" s="238"/>
      <c r="H7" s="237"/>
      <c r="I7" s="238"/>
    </row>
    <row r="8" spans="1:9">
      <c r="A8" s="10"/>
      <c r="B8" s="9"/>
      <c r="C8" s="16">
        <f>'Recursos de Trabajo'!E8</f>
        <v>0</v>
      </c>
      <c r="D8" s="236"/>
      <c r="E8" s="123"/>
      <c r="F8" s="236"/>
      <c r="G8" s="238"/>
      <c r="H8" s="236"/>
      <c r="I8" s="238"/>
    </row>
    <row r="9" spans="1:9">
      <c r="A9" s="10"/>
      <c r="B9" s="9"/>
      <c r="C9" s="235">
        <f>'Recursos de Trabajo'!E8</f>
        <v>0</v>
      </c>
      <c r="D9" s="236"/>
      <c r="E9" s="123"/>
      <c r="F9" s="237"/>
      <c r="G9" s="238"/>
      <c r="H9" s="237"/>
      <c r="I9" s="238"/>
    </row>
    <row r="10" spans="1:9">
      <c r="A10" s="214" t="s">
        <v>129</v>
      </c>
      <c r="B10" s="216" t="e">
        <f>LOOKUP('Recursos de Trabajo'!C10,Departamentos!$A$3:$B$10)</f>
        <v>#N/A</v>
      </c>
      <c r="C10" s="235">
        <f>'Recursos de Trabajo'!E9</f>
        <v>0</v>
      </c>
      <c r="D10" s="236"/>
      <c r="E10" s="123"/>
      <c r="F10" s="237"/>
      <c r="G10" s="238"/>
      <c r="H10" s="236"/>
      <c r="I10" s="238"/>
    </row>
    <row r="11" spans="1:9" ht="15.75" thickBot="1">
      <c r="A11" s="124"/>
      <c r="B11" s="125" t="s">
        <v>28</v>
      </c>
      <c r="C11" s="125"/>
      <c r="D11" s="126">
        <f>SUM(D3:D10)</f>
        <v>0</v>
      </c>
      <c r="E11" s="127"/>
      <c r="F11" s="212">
        <f>SUM(F3:F10)</f>
        <v>0</v>
      </c>
      <c r="G11" s="127"/>
      <c r="H11" s="212">
        <f>SUM(H3:H10)</f>
        <v>0</v>
      </c>
      <c r="I11" s="127"/>
    </row>
    <row r="12" spans="1:9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6"/>
  <sheetViews>
    <sheetView zoomScaleNormal="100" workbookViewId="0">
      <selection activeCell="C15" sqref="C15"/>
    </sheetView>
  </sheetViews>
  <sheetFormatPr baseColWidth="10" defaultRowHeight="1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>
      <c r="C1" s="32" t="s">
        <v>128</v>
      </c>
      <c r="E1" t="s">
        <v>112</v>
      </c>
      <c r="F1" s="3">
        <f ca="1">TODAY()</f>
        <v>41590</v>
      </c>
    </row>
    <row r="2" spans="1:14" ht="15.75" thickBot="1">
      <c r="A2" s="175" t="s">
        <v>81</v>
      </c>
      <c r="B2" s="217" t="s">
        <v>36</v>
      </c>
      <c r="C2" s="217" t="s">
        <v>35</v>
      </c>
      <c r="D2" s="217" t="s">
        <v>37</v>
      </c>
      <c r="E2" s="217" t="s">
        <v>38</v>
      </c>
      <c r="F2" s="217" t="s">
        <v>39</v>
      </c>
      <c r="G2" s="217" t="s">
        <v>40</v>
      </c>
      <c r="H2" s="217" t="s">
        <v>41</v>
      </c>
      <c r="I2" s="217" t="s">
        <v>42</v>
      </c>
      <c r="J2" s="217" t="s">
        <v>43</v>
      </c>
      <c r="K2" s="174"/>
      <c r="L2" s="174"/>
      <c r="M2" s="7"/>
      <c r="N2" s="7"/>
    </row>
    <row r="3" spans="1:14" ht="15.75" thickBot="1">
      <c r="A3" s="31" t="s">
        <v>69</v>
      </c>
      <c r="B3" s="266">
        <v>0</v>
      </c>
      <c r="C3" s="266"/>
      <c r="D3" s="266"/>
      <c r="E3" s="240"/>
      <c r="F3" s="266"/>
      <c r="G3" s="266"/>
      <c r="H3" s="240"/>
      <c r="I3" s="266"/>
      <c r="J3" s="266"/>
      <c r="K3" s="172"/>
      <c r="L3" s="172"/>
    </row>
    <row r="4" spans="1:14">
      <c r="A4" s="34" t="s">
        <v>70</v>
      </c>
      <c r="B4" s="6"/>
      <c r="C4" s="6"/>
      <c r="D4" s="6"/>
      <c r="E4" s="267"/>
      <c r="F4" s="6"/>
      <c r="G4" s="6"/>
      <c r="H4" s="6"/>
      <c r="I4" s="6"/>
      <c r="J4" s="169"/>
      <c r="K4" s="29"/>
      <c r="L4" s="29"/>
    </row>
    <row r="5" spans="1:14">
      <c r="A5" s="35" t="s">
        <v>71</v>
      </c>
      <c r="B5" s="6"/>
      <c r="C5" s="6"/>
      <c r="D5" s="6"/>
      <c r="E5" s="169"/>
      <c r="F5" s="6"/>
      <c r="G5" s="6"/>
      <c r="H5" s="6"/>
      <c r="I5" s="6"/>
      <c r="J5" s="169"/>
      <c r="K5" s="6"/>
      <c r="L5" s="6"/>
    </row>
    <row r="6" spans="1:14">
      <c r="A6" s="35" t="s">
        <v>72</v>
      </c>
      <c r="B6" s="6"/>
      <c r="C6" s="6"/>
      <c r="D6" s="6"/>
      <c r="E6" s="169"/>
      <c r="F6" s="6"/>
      <c r="G6" s="6"/>
      <c r="H6" s="6"/>
      <c r="I6" s="6"/>
      <c r="J6" s="6"/>
      <c r="K6" s="170"/>
      <c r="L6" s="170"/>
    </row>
    <row r="7" spans="1:14">
      <c r="A7" s="35" t="s">
        <v>73</v>
      </c>
      <c r="B7" s="6"/>
      <c r="C7" s="6"/>
      <c r="D7" s="6"/>
      <c r="E7" s="169"/>
      <c r="F7" s="6"/>
      <c r="G7" s="6"/>
      <c r="H7" s="6"/>
      <c r="I7" s="6"/>
      <c r="J7" s="170"/>
      <c r="K7" s="170"/>
      <c r="L7" s="170"/>
    </row>
    <row r="8" spans="1:14" ht="15.75" thickBot="1">
      <c r="A8" s="181" t="s">
        <v>75</v>
      </c>
      <c r="B8" s="239">
        <f>SUM(C5:C7)</f>
        <v>0</v>
      </c>
      <c r="C8" s="239"/>
      <c r="D8" s="239"/>
      <c r="E8" s="239"/>
      <c r="F8" s="239"/>
      <c r="G8" s="239"/>
      <c r="H8" s="239"/>
      <c r="I8" s="239"/>
      <c r="J8" s="239"/>
      <c r="K8" s="172"/>
      <c r="L8" s="172"/>
    </row>
    <row r="9" spans="1:14" ht="15.75" thickBot="1">
      <c r="A9" s="182" t="s">
        <v>1</v>
      </c>
      <c r="B9" s="239">
        <f t="shared" ref="B9" si="0">B3-B8</f>
        <v>0</v>
      </c>
      <c r="C9" s="239"/>
      <c r="D9" s="239"/>
      <c r="E9" s="240"/>
      <c r="F9" s="239"/>
      <c r="G9" s="239"/>
      <c r="H9" s="239"/>
      <c r="I9" s="239"/>
      <c r="J9" s="239"/>
      <c r="K9" s="172"/>
      <c r="L9" s="172"/>
    </row>
    <row r="10" spans="1:14" ht="15.75" thickBot="1">
      <c r="A10" t="s">
        <v>77</v>
      </c>
      <c r="B10" s="241"/>
      <c r="C10" s="241"/>
      <c r="D10" s="241"/>
      <c r="E10" s="7"/>
      <c r="F10" s="7"/>
      <c r="I10" s="8"/>
      <c r="J10" s="113"/>
      <c r="K10" s="113"/>
      <c r="L10" s="113"/>
    </row>
    <row r="11" spans="1:14">
      <c r="A11" s="176" t="s">
        <v>78</v>
      </c>
      <c r="B11" s="177">
        <f>NPV(B10,$C$9:J9)+$B$9</f>
        <v>0</v>
      </c>
      <c r="C11" s="177">
        <f>NPV(C10,$C$9:$J$9)+$B$9</f>
        <v>0</v>
      </c>
      <c r="D11" s="177">
        <f>NPV(B10,$C$9:$J$9)+B9</f>
        <v>0</v>
      </c>
      <c r="E11" s="7"/>
      <c r="F11" s="7"/>
      <c r="I11" s="8"/>
      <c r="J11" s="113"/>
      <c r="K11" s="113"/>
      <c r="L11" s="113"/>
    </row>
    <row r="12" spans="1:14" ht="16.5" thickBot="1">
      <c r="A12" s="178" t="s">
        <v>2</v>
      </c>
      <c r="B12" s="242" t="e">
        <f>IRR(C9)</f>
        <v>#NUM!</v>
      </c>
      <c r="C12" s="179"/>
      <c r="D12" s="180"/>
      <c r="E12" s="7"/>
      <c r="F12" s="7"/>
      <c r="J12" s="113"/>
      <c r="K12" s="113"/>
      <c r="L12" s="171"/>
    </row>
    <row r="13" spans="1:14">
      <c r="A13" s="34" t="s">
        <v>179</v>
      </c>
      <c r="B13" s="183" t="str">
        <f>IF(B8=0,"",(B3-B8)/B8)</f>
        <v/>
      </c>
      <c r="C13" s="183">
        <f>IF(SUM($B$8:C8)&lt;&gt;0,(SUM($B$3:C3)-SUM($B$8:C8))/((SUM($B$8:C8))),0)</f>
        <v>0</v>
      </c>
      <c r="D13" s="183">
        <f>IF(SUM($B$8:D8)&lt;&gt;0,(SUM($B$3:D3)-SUM($B$8:D8))/((SUM($B$8:D8))),0)</f>
        <v>0</v>
      </c>
      <c r="E13" s="183">
        <f>IF(SUM($B$8:E8)&lt;&gt;0,(SUM($B$3:E3)-SUM($B$8:E8))/((SUM($B$8:E8))),0)</f>
        <v>0</v>
      </c>
      <c r="F13" s="183">
        <f>IF(SUM($B$8:F8)&lt;&gt;0,(SUM($B$3:F3)-SUM($B$8:F8))/((SUM($B$8:F8))),0)</f>
        <v>0</v>
      </c>
      <c r="G13" s="183">
        <f>IF(SUM($B$8:G8)&lt;&gt;0,(SUM($B$3:G3)-SUM($B$8:G8))/((SUM($B$8:G8))),0)</f>
        <v>0</v>
      </c>
      <c r="H13" s="183">
        <f>IF(SUM($B$8:H8)&lt;&gt;0,(SUM($B$3:H3)-SUM($B$8:H8))/((SUM($B$8:H8))),0)</f>
        <v>0</v>
      </c>
      <c r="I13" s="183">
        <f>IF(SUM($B$8:I8)&lt;&gt;0,(SUM($B$3:I3)-SUM($B$8:I8))/((SUM($B$8:I8))),0)</f>
        <v>0</v>
      </c>
      <c r="J13" s="184">
        <f>IF(SUM($B$8:J8)&lt;&gt;0,(SUM($B$3:J3)-SUM($B$8:J8))/((SUM($B$8:J8))),0)</f>
        <v>0</v>
      </c>
      <c r="K13" s="173"/>
      <c r="L13" s="173"/>
      <c r="M13" s="7"/>
    </row>
    <row r="14" spans="1:14" ht="15.75" thickBot="1">
      <c r="A14" s="185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7"/>
    </row>
    <row r="15" spans="1:14" ht="30">
      <c r="A15" s="254" t="s">
        <v>84</v>
      </c>
      <c r="B15" s="255"/>
      <c r="C15" s="256"/>
      <c r="D15" s="256"/>
      <c r="E15" s="256"/>
      <c r="F15" s="256"/>
      <c r="G15" s="256"/>
      <c r="H15" s="256"/>
      <c r="I15" s="256"/>
      <c r="J15" s="257"/>
      <c r="K15" s="6"/>
      <c r="L15" s="6"/>
    </row>
    <row r="16" spans="1:14" ht="16.5" thickBot="1">
      <c r="A16" s="258" t="s">
        <v>76</v>
      </c>
      <c r="B16" s="259"/>
      <c r="C16" s="60"/>
      <c r="D16" s="60"/>
      <c r="E16" s="60"/>
      <c r="F16" s="60"/>
      <c r="G16" s="124"/>
      <c r="H16" s="124"/>
      <c r="I16" s="124"/>
      <c r="J16" s="260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2013-11-12T21:47:19Z</dcterms:modified>
</cp:coreProperties>
</file>