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20100" windowHeight="7575" tabRatio="964" activeTab="5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</sheets>
  <definedNames>
    <definedName name="SALARIO">Priorizar!$A$4:$A$13</definedName>
  </definedNames>
  <calcPr calcId="144525" concurrentCalc="0"/>
  <pivotCaches>
    <pivotCache cacheId="2" r:id="rId14"/>
    <pivotCache cacheId="3" r:id="rId15"/>
  </pivotCaches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3" i="8"/>
  <c r="C4" i="8"/>
  <c r="C5" i="8"/>
  <c r="C6" i="8"/>
  <c r="C7" i="8"/>
  <c r="C8" i="8"/>
  <c r="C9" i="8"/>
  <c r="C10" i="8"/>
  <c r="C3" i="8"/>
  <c r="I17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I3" i="6"/>
  <c r="G3" i="6"/>
  <c r="H17" i="6"/>
  <c r="F17" i="6"/>
  <c r="B4" i="6"/>
  <c r="C8" i="7"/>
  <c r="B5" i="6"/>
  <c r="B6" i="6"/>
  <c r="B7" i="6"/>
  <c r="B8" i="6"/>
  <c r="B9" i="6"/>
  <c r="B10" i="6"/>
  <c r="B11" i="6"/>
  <c r="B12" i="6"/>
  <c r="B13" i="6"/>
  <c r="B14" i="6"/>
  <c r="B15" i="6"/>
  <c r="B16" i="6"/>
  <c r="B3" i="6"/>
  <c r="E4" i="7"/>
  <c r="E4" i="8"/>
  <c r="D6" i="9"/>
  <c r="C5" i="7"/>
  <c r="C7" i="7"/>
  <c r="D3" i="7"/>
  <c r="D8" i="7"/>
  <c r="D4" i="7"/>
  <c r="E7" i="7"/>
  <c r="C10" i="7"/>
  <c r="C6" i="7"/>
  <c r="E3" i="7"/>
  <c r="D7" i="7"/>
  <c r="E10" i="7"/>
  <c r="E6" i="7"/>
  <c r="C9" i="7"/>
  <c r="D10" i="7"/>
  <c r="D6" i="7"/>
  <c r="E9" i="7"/>
  <c r="E5" i="7"/>
  <c r="C4" i="7"/>
  <c r="D9" i="7"/>
  <c r="D5" i="7"/>
  <c r="E8" i="7"/>
  <c r="B20" i="14"/>
  <c r="E7" i="8"/>
  <c r="D9" i="9"/>
  <c r="E8" i="8"/>
  <c r="D10" i="9"/>
  <c r="E5" i="8"/>
  <c r="D7" i="9"/>
  <c r="E3" i="8"/>
  <c r="D5" i="9"/>
  <c r="D12" i="9"/>
  <c r="E10" i="8"/>
  <c r="E9" i="8"/>
  <c r="D11" i="9"/>
  <c r="D8" i="9"/>
  <c r="E6" i="8"/>
  <c r="C31" i="10"/>
  <c r="D30" i="10"/>
  <c r="C30" i="10"/>
  <c r="B30" i="10"/>
  <c r="F26" i="10"/>
  <c r="F25" i="10"/>
  <c r="D14" i="10"/>
  <c r="C14" i="10"/>
  <c r="B14" i="10"/>
  <c r="C27" i="10"/>
  <c r="C5" i="10"/>
  <c r="I3" i="10"/>
  <c r="F8" i="14"/>
  <c r="E8" i="14"/>
  <c r="F9" i="14"/>
  <c r="M9" i="14"/>
  <c r="D8" i="14"/>
  <c r="E9" i="14"/>
  <c r="D9" i="14"/>
  <c r="M8" i="14"/>
  <c r="D10" i="14"/>
  <c r="E10" i="14"/>
  <c r="F10" i="14"/>
  <c r="G10" i="14"/>
  <c r="H10" i="14"/>
  <c r="I10" i="14"/>
  <c r="J10" i="14"/>
  <c r="K10" i="14"/>
  <c r="L10" i="14"/>
  <c r="C10" i="14"/>
  <c r="C9" i="14"/>
  <c r="B10" i="14"/>
  <c r="B3" i="14"/>
  <c r="L3" i="14"/>
  <c r="K3" i="14"/>
  <c r="J3" i="14"/>
  <c r="I3" i="14"/>
  <c r="C8" i="14"/>
  <c r="F3" i="14"/>
  <c r="B9" i="10"/>
  <c r="J8" i="10"/>
  <c r="I8" i="10"/>
  <c r="H8" i="10"/>
  <c r="G8" i="10"/>
  <c r="F8" i="10"/>
  <c r="E8" i="10"/>
  <c r="D8" i="10"/>
  <c r="C8" i="10"/>
  <c r="D7" i="10"/>
  <c r="E7" i="10"/>
  <c r="F7" i="10"/>
  <c r="C9" i="10"/>
  <c r="F3" i="10"/>
  <c r="I5" i="14"/>
  <c r="D7" i="14"/>
  <c r="D5" i="14"/>
  <c r="M6" i="14"/>
  <c r="E5" i="14"/>
  <c r="E7" i="14"/>
  <c r="M7" i="14"/>
  <c r="B26" i="14"/>
  <c r="B27" i="14"/>
  <c r="L25" i="14"/>
  <c r="L26" i="14"/>
  <c r="K25" i="14"/>
  <c r="K26" i="14"/>
  <c r="J25" i="14"/>
  <c r="J26" i="14"/>
  <c r="I25" i="14"/>
  <c r="I26" i="14"/>
  <c r="H25" i="14"/>
  <c r="H26" i="14"/>
  <c r="G25" i="14"/>
  <c r="G26" i="14"/>
  <c r="F25" i="14"/>
  <c r="F26" i="14"/>
  <c r="E25" i="14"/>
  <c r="E26" i="14"/>
  <c r="D25" i="14"/>
  <c r="D26" i="14"/>
  <c r="D27" i="14"/>
  <c r="C25" i="14"/>
  <c r="C26" i="14"/>
  <c r="C27" i="14"/>
  <c r="B11" i="14"/>
  <c r="F7" i="14"/>
  <c r="C5" i="14"/>
  <c r="C11" i="14"/>
  <c r="H3" i="14"/>
  <c r="F1" i="14"/>
  <c r="P1" i="1"/>
  <c r="P8" i="1"/>
  <c r="P6" i="1"/>
  <c r="P5" i="1"/>
  <c r="M8" i="2"/>
  <c r="M9" i="2"/>
  <c r="M10" i="2"/>
  <c r="M11" i="2"/>
  <c r="M5" i="2"/>
  <c r="M6" i="2"/>
  <c r="M7" i="2"/>
  <c r="M4" i="2"/>
  <c r="C16" i="10"/>
  <c r="B16" i="10"/>
  <c r="D5" i="10"/>
  <c r="D9" i="10"/>
  <c r="E5" i="10"/>
  <c r="D11" i="14"/>
  <c r="I11" i="14"/>
  <c r="E3" i="4"/>
  <c r="C3" i="6"/>
  <c r="F4" i="4"/>
  <c r="E4" i="4"/>
  <c r="C4" i="6"/>
  <c r="F5" i="4"/>
  <c r="E5" i="4"/>
  <c r="C5" i="6"/>
  <c r="E5" i="6"/>
  <c r="F6" i="4"/>
  <c r="E6" i="4"/>
  <c r="C6" i="6"/>
  <c r="E6" i="6"/>
  <c r="F7" i="4"/>
  <c r="E7" i="4"/>
  <c r="C7" i="6"/>
  <c r="E7" i="6"/>
  <c r="F8" i="4"/>
  <c r="E8" i="4"/>
  <c r="C8" i="6"/>
  <c r="E8" i="6"/>
  <c r="F9" i="4"/>
  <c r="E9" i="4"/>
  <c r="C9" i="6"/>
  <c r="E9" i="6"/>
  <c r="F10" i="4"/>
  <c r="E10" i="4"/>
  <c r="C10" i="6"/>
  <c r="E10" i="6"/>
  <c r="F11" i="4"/>
  <c r="E11" i="4"/>
  <c r="C11" i="6"/>
  <c r="E11" i="6"/>
  <c r="F12" i="4"/>
  <c r="E12" i="4"/>
  <c r="C12" i="6"/>
  <c r="E12" i="6"/>
  <c r="F13" i="4"/>
  <c r="E13" i="4"/>
  <c r="C13" i="6"/>
  <c r="E13" i="6"/>
  <c r="F14" i="4"/>
  <c r="E14" i="4"/>
  <c r="C14" i="6"/>
  <c r="E14" i="6"/>
  <c r="F15" i="4"/>
  <c r="E15" i="4"/>
  <c r="C15" i="6"/>
  <c r="E15" i="6"/>
  <c r="F16" i="4"/>
  <c r="E16" i="4"/>
  <c r="C16" i="6"/>
  <c r="E16" i="6"/>
  <c r="C3" i="7"/>
  <c r="D16" i="10"/>
  <c r="E9" i="10"/>
  <c r="F5" i="10"/>
  <c r="G5" i="10"/>
  <c r="J11" i="14"/>
  <c r="E11" i="14"/>
  <c r="F5" i="14"/>
  <c r="F1" i="10"/>
  <c r="H5" i="10"/>
  <c r="G9" i="10"/>
  <c r="G10" i="10"/>
  <c r="E16" i="10"/>
  <c r="F9" i="10"/>
  <c r="F16" i="10"/>
  <c r="F11" i="14"/>
  <c r="G5" i="14"/>
  <c r="K11" i="14"/>
  <c r="L11" i="14"/>
  <c r="E1" i="7"/>
  <c r="I5" i="10"/>
  <c r="H9" i="10"/>
  <c r="H10" i="10"/>
  <c r="G11" i="14"/>
  <c r="H5" i="14"/>
  <c r="I2" i="2"/>
  <c r="J5" i="10"/>
  <c r="J9" i="10"/>
  <c r="J10" i="10"/>
  <c r="I9" i="10"/>
  <c r="I10" i="10"/>
  <c r="G16" i="10"/>
  <c r="H11" i="14"/>
  <c r="M5" i="14"/>
  <c r="C9" i="3"/>
  <c r="C6" i="3"/>
  <c r="C7" i="3"/>
  <c r="C8" i="3"/>
  <c r="C5" i="3"/>
  <c r="C13" i="3"/>
  <c r="J16" i="10"/>
  <c r="I16" i="10"/>
  <c r="H16" i="10"/>
  <c r="C17" i="14"/>
  <c r="D16" i="14"/>
  <c r="C16" i="14"/>
  <c r="B16" i="14"/>
  <c r="C11" i="3"/>
  <c r="C16" i="3"/>
  <c r="B25" i="10"/>
  <c r="B26" i="10"/>
  <c r="E24" i="10"/>
  <c r="E25" i="10"/>
  <c r="E26" i="10"/>
  <c r="D24" i="10"/>
  <c r="D25" i="10"/>
  <c r="D26" i="10"/>
  <c r="C24" i="10"/>
  <c r="C25" i="10"/>
  <c r="C26" i="10"/>
  <c r="B14" i="14"/>
  <c r="C13" i="14"/>
  <c r="D13" i="14"/>
  <c r="E13" i="14"/>
  <c r="F13" i="14"/>
  <c r="G13" i="14"/>
  <c r="H13" i="14"/>
  <c r="I13" i="14"/>
  <c r="J13" i="14"/>
  <c r="K13" i="14"/>
  <c r="L13" i="14"/>
  <c r="B12" i="10"/>
  <c r="F10" i="10"/>
  <c r="D10" i="10"/>
  <c r="E10" i="10"/>
  <c r="C10" i="10"/>
  <c r="B10" i="10"/>
  <c r="D27" i="10"/>
  <c r="E27" i="10"/>
  <c r="F27" i="10"/>
  <c r="G27" i="10"/>
  <c r="H27" i="10"/>
  <c r="I27" i="10"/>
  <c r="J27" i="10"/>
  <c r="C11" i="10"/>
  <c r="D11" i="10"/>
  <c r="E11" i="10"/>
  <c r="F11" i="10"/>
  <c r="G11" i="10"/>
  <c r="H11" i="10"/>
  <c r="I11" i="10"/>
  <c r="J11" i="10"/>
  <c r="C15" i="10"/>
  <c r="D34" i="8"/>
  <c r="D33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5" i="8"/>
  <c r="D14" i="8"/>
  <c r="D13" i="8"/>
  <c r="D12" i="8"/>
  <c r="D11" i="8"/>
  <c r="D17" i="6"/>
  <c r="E3" i="6"/>
  <c r="E4" i="6"/>
  <c r="E17" i="6"/>
  <c r="E11" i="7"/>
  <c r="D4" i="9"/>
  <c r="D11" i="7"/>
  <c r="C11" i="7"/>
</calcChain>
</file>

<file path=xl/sharedStrings.xml><?xml version="1.0" encoding="utf-8"?>
<sst xmlns="http://schemas.openxmlformats.org/spreadsheetml/2006/main" count="471" uniqueCount="228">
  <si>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</si>
  <si>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</si>
  <si>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</si>
  <si>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</si>
  <si>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</si>
  <si>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</si>
  <si>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</si>
  <si>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</si>
  <si>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</si>
  <si>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</si>
  <si>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CODIGO DPTO</t>
  </si>
  <si>
    <t>TASA DIARIA</t>
  </si>
  <si>
    <t>0129</t>
  </si>
  <si>
    <t>3450</t>
  </si>
  <si>
    <t>2110</t>
  </si>
  <si>
    <t>0120</t>
  </si>
  <si>
    <t>2300</t>
  </si>
  <si>
    <t>2190</t>
  </si>
  <si>
    <t>2350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</si>
  <si>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</si>
  <si>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</si>
  <si>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</si>
  <si>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</si>
  <si>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</si>
  <si>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</si>
  <si>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</si>
  <si>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</si>
  <si>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</si>
  <si>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</si>
  <si>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</si>
  <si>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</si>
  <si>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</si>
  <si>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</si>
  <si>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</si>
  <si>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</si>
  <si>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</si>
  <si>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1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</si>
  <si>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</si>
  <si>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</si>
  <si>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</si>
  <si>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</si>
  <si>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</si>
  <si>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</si>
  <si>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</si>
  <si>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</si>
  <si>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</si>
  <si>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</si>
  <si>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</si>
  <si>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</si>
  <si>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</si>
  <si>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</si>
  <si>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</si>
  <si>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</si>
  <si>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</si>
  <si>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</si>
  <si>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</si>
  <si>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</si>
  <si>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</si>
  <si>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</si>
  <si>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</si>
  <si>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</si>
  <si>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</si>
  <si>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</si>
  <si>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</si>
  <si>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</si>
  <si>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</si>
  <si>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</si>
  <si>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</si>
  <si>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</si>
  <si>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</si>
  <si>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</si>
  <si>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</si>
  <si>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</si>
  <si>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</si>
  <si>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</si>
  <si>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</si>
  <si>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</si>
  <si>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</si>
  <si>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</si>
  <si>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</si>
  <si>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</si>
  <si>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</si>
  <si>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</si>
  <si>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</si>
  <si>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</si>
  <si>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Depreciac. acumulada en linea recta</t>
  </si>
  <si>
    <t>Tasa Oportunidad</t>
  </si>
  <si>
    <t>VLR. PRESENTE NETO</t>
  </si>
  <si>
    <t>Si_No</t>
  </si>
  <si>
    <t>Ivan Toro</t>
  </si>
  <si>
    <t>Ruben D. Toro</t>
  </si>
  <si>
    <t>Horas laboradas</t>
  </si>
  <si>
    <t>PLANEADO</t>
  </si>
  <si>
    <t>EJECUTADO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</si>
  <si>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</si>
  <si>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</si>
  <si>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</si>
  <si>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</si>
  <si>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</si>
  <si>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</si>
  <si>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</si>
  <si>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</si>
  <si>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</si>
  <si>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</si>
  <si>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</si>
  <si>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</si>
  <si>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</si>
  <si>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</si>
  <si>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</si>
  <si>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</si>
  <si>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</si>
  <si>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</si>
  <si>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</si>
  <si>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</si>
  <si>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</si>
  <si>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</si>
  <si>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</si>
  <si>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</si>
  <si>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</si>
  <si>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</si>
  <si>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</si>
  <si>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</si>
  <si>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</si>
  <si>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</si>
  <si>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James Hewitt</t>
  </si>
  <si>
    <t>Fecha:</t>
  </si>
  <si>
    <t>Fernando Salazar</t>
  </si>
  <si>
    <t>Presupuesto requerido</t>
  </si>
  <si>
    <t>Proyecto de TIC 1</t>
  </si>
  <si>
    <t>Proyecto de TIC 2</t>
  </si>
  <si>
    <t>Proyecto de TIC 3</t>
  </si>
  <si>
    <t>Proyecto de TIC 4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</si>
  <si>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</si>
  <si>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</si>
  <si>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</si>
  <si>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</si>
  <si>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</si>
  <si>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</si>
  <si>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</si>
  <si>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</si>
  <si>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</si>
  <si>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</si>
  <si>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</si>
  <si>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</si>
  <si>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</si>
  <si>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</si>
  <si>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</si>
  <si>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SANDRA MORELLI</t>
  </si>
  <si>
    <t>MONICA SANTOS</t>
  </si>
  <si>
    <t>CARLOS BERNATE</t>
  </si>
  <si>
    <t>HERNANDO ALARCON</t>
  </si>
  <si>
    <t>CESIRA MENDEZ</t>
  </si>
  <si>
    <t>MERY GUZMAN</t>
  </si>
  <si>
    <t>LILIANA RUIZ</t>
  </si>
  <si>
    <t>ALBA L. CASTELLANOS</t>
  </si>
  <si>
    <t>CLAUDIA ABONDANO</t>
  </si>
  <si>
    <t>WILLIAM TORO</t>
  </si>
  <si>
    <t>ALEJANDRO SALAZAR</t>
  </si>
  <si>
    <t>MAURICIO TORO</t>
  </si>
  <si>
    <t>CESAR A. TORO</t>
  </si>
  <si>
    <t>LAURA FERGUSSON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</si>
  <si>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</si>
  <si>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</si>
  <si>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</si>
  <si>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</si>
  <si>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</si>
  <si>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</si>
  <si>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</si>
  <si>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</si>
  <si>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</si>
  <si>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</si>
  <si>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</si>
  <si>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</si>
  <si>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</si>
  <si>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</si>
  <si>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</si>
  <si>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</si>
  <si>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</si>
  <si>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Proyecto 1</t>
  </si>
  <si>
    <t>Proyecto 2</t>
  </si>
  <si>
    <t>Proyecto 3</t>
  </si>
  <si>
    <t>Proyecto 4</t>
  </si>
  <si>
    <t>TOTAL Utils</t>
  </si>
  <si>
    <t>CONTRATOS</t>
  </si>
  <si>
    <t>MIRYAM GUZMAN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</si>
  <si>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</si>
  <si>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</si>
  <si>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</si>
  <si>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</si>
  <si>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</si>
  <si>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</si>
  <si>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</si>
  <si>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</si>
  <si>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</si>
  <si>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</si>
  <si>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</si>
  <si>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</si>
  <si>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</si>
  <si>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</si>
  <si>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</si>
  <si>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</si>
  <si>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</si>
  <si>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</si>
  <si>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</si>
  <si>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</si>
  <si>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</si>
  <si>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</si>
  <si>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</si>
  <si>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</si>
  <si>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</si>
  <si>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Ingresos reales</t>
  </si>
  <si>
    <t>Total egresos reales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</si>
  <si>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</si>
  <si>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</si>
  <si>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</si>
  <si>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</si>
  <si>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</si>
  <si>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</si>
  <si>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PAGO/SALARIO MENSUAL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</si>
  <si>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</si>
  <si>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</si>
  <si>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</si>
  <si>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</si>
  <si>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</si>
  <si>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</si>
  <si>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 xml:space="preserve">Oportunidad del Negocio </t>
  </si>
  <si>
    <t>Suma de COSTO 2014</t>
  </si>
  <si>
    <t>Suma de COSTO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</si>
</sst>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7" borderId="41" applyNumberFormat="0" applyAlignment="0" applyProtection="0"/>
    <xf numFmtId="0" fontId="10" fillId="8" borderId="42" applyNumberFormat="0" applyAlignment="0" applyProtection="0"/>
    <xf numFmtId="0" fontId="1" fillId="9" borderId="43" applyNumberFormat="0" applyFont="0" applyAlignment="0" applyProtection="0"/>
    <xf numFmtId="0" fontId="1" fillId="10" borderId="0" applyNumberFormat="0" applyBorder="0" applyAlignment="0" applyProtection="0"/>
    <xf numFmtId="0" fontId="12" fillId="11" borderId="0" applyNumberFormat="0" applyBorder="0" applyAlignment="0" applyProtection="0"/>
  </cellStyleXfs>
  <cellXfs count="264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" fontId="0" fillId="0" borderId="2" xfId="1" applyNumberFormat="1" applyFont="1" applyBorder="1"/>
    <xf numFmtId="1" fontId="0" fillId="0" borderId="2" xfId="0" applyNumberForma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68" fontId="0" fillId="0" borderId="4" xfId="1" applyNumberFormat="1" applyFont="1" applyBorder="1"/>
    <xf numFmtId="168" fontId="0" fillId="0" borderId="2" xfId="1" applyNumberFormat="1" applyFont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0" fontId="0" fillId="0" borderId="0" xfId="1" applyNumberFormat="1" applyFont="1"/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171" fontId="0" fillId="0" borderId="0" xfId="1" applyNumberFormat="1" applyFont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3" fontId="0" fillId="6" borderId="8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165" fontId="0" fillId="0" borderId="1" xfId="0" applyNumberFormat="1" applyBorder="1"/>
    <xf numFmtId="165" fontId="0" fillId="0" borderId="10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0" fontId="0" fillId="0" borderId="0" xfId="0" applyAlignment="1">
      <alignment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65" fontId="0" fillId="0" borderId="38" xfId="0" applyNumberFormat="1" applyBorder="1"/>
    <xf numFmtId="10" fontId="2" fillId="0" borderId="0" xfId="0" applyNumberFormat="1" applyFont="1"/>
    <xf numFmtId="0" fontId="10" fillId="8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3" fontId="0" fillId="0" borderId="48" xfId="0" applyNumberFormat="1" applyBorder="1"/>
    <xf numFmtId="166" fontId="0" fillId="0" borderId="48" xfId="0" applyNumberFormat="1" applyBorder="1"/>
    <xf numFmtId="166" fontId="0" fillId="0" borderId="0" xfId="0" applyNumberFormat="1" applyBorder="1"/>
    <xf numFmtId="166" fontId="0" fillId="0" borderId="0" xfId="1" applyNumberFormat="1" applyFon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12" fillId="0" borderId="0" xfId="7" applyNumberFormat="1" applyFill="1" applyBorder="1"/>
    <xf numFmtId="3" fontId="2" fillId="11" borderId="2" xfId="7" applyNumberFormat="1" applyFont="1" applyBorder="1"/>
    <xf numFmtId="0" fontId="2" fillId="12" borderId="8" xfId="0" applyFont="1" applyFill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170" fontId="2" fillId="3" borderId="24" xfId="1" applyNumberFormat="1" applyFont="1" applyFill="1" applyBorder="1"/>
    <xf numFmtId="0" fontId="2" fillId="3" borderId="19" xfId="0" applyFont="1" applyFill="1" applyBorder="1"/>
    <xf numFmtId="43" fontId="0" fillId="3" borderId="0" xfId="1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3" fontId="2" fillId="11" borderId="4" xfId="7" applyNumberFormat="1" applyFont="1" applyBorder="1" applyAlignment="1">
      <alignment horizontal="center"/>
    </xf>
    <xf numFmtId="3" fontId="2" fillId="11" borderId="4" xfId="7" applyNumberFormat="1" applyFont="1" applyBorder="1"/>
    <xf numFmtId="0" fontId="2" fillId="0" borderId="0" xfId="0" applyFont="1" applyBorder="1"/>
    <xf numFmtId="3" fontId="0" fillId="6" borderId="2" xfId="0" applyNumberFormat="1" applyFill="1" applyBorder="1"/>
    <xf numFmtId="0" fontId="2" fillId="12" borderId="0" xfId="0" applyFont="1" applyFill="1"/>
    <xf numFmtId="0" fontId="2" fillId="12" borderId="7" xfId="0" applyFont="1" applyFill="1" applyBorder="1"/>
    <xf numFmtId="3" fontId="2" fillId="11" borderId="39" xfId="7" applyNumberFormat="1" applyFont="1" applyBorder="1"/>
    <xf numFmtId="3" fontId="2" fillId="11" borderId="3" xfId="7" applyNumberFormat="1" applyFont="1" applyBorder="1"/>
    <xf numFmtId="3" fontId="2" fillId="0" borderId="0" xfId="7" applyNumberFormat="1" applyFont="1" applyFill="1" applyBorder="1"/>
    <xf numFmtId="0" fontId="2" fillId="3" borderId="20" xfId="0" applyFont="1" applyFill="1" applyBorder="1"/>
    <xf numFmtId="170" fontId="2" fillId="3" borderId="28" xfId="1" applyNumberFormat="1" applyFont="1" applyFill="1" applyBorder="1"/>
    <xf numFmtId="170" fontId="2" fillId="3" borderId="21" xfId="1" applyNumberFormat="1" applyFont="1" applyFill="1" applyBorder="1"/>
    <xf numFmtId="0" fontId="2" fillId="3" borderId="14" xfId="0" applyFont="1" applyFill="1" applyBorder="1"/>
    <xf numFmtId="43" fontId="0" fillId="3" borderId="15" xfId="1" applyFont="1" applyFill="1" applyBorder="1"/>
    <xf numFmtId="9" fontId="3" fillId="3" borderId="15" xfId="0" applyNumberFormat="1" applyFont="1" applyFill="1" applyBorder="1"/>
    <xf numFmtId="9" fontId="0" fillId="3" borderId="16" xfId="0" applyNumberFormat="1" applyFill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13" borderId="57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2" fillId="0" borderId="57" xfId="0" applyNumberFormat="1" applyFont="1" applyBorder="1"/>
    <xf numFmtId="0" fontId="2" fillId="0" borderId="11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0" borderId="58" xfId="0" applyBorder="1"/>
    <xf numFmtId="0" fontId="0" fillId="0" borderId="59" xfId="0" applyBorder="1"/>
    <xf numFmtId="0" fontId="0" fillId="0" borderId="51" xfId="0" applyBorder="1"/>
    <xf numFmtId="0" fontId="0" fillId="0" borderId="60" xfId="0" applyBorder="1"/>
    <xf numFmtId="0" fontId="0" fillId="0" borderId="0" xfId="0" applyNumberFormat="1"/>
    <xf numFmtId="166" fontId="0" fillId="0" borderId="47" xfId="0" applyNumberFormat="1" applyBorder="1"/>
    <xf numFmtId="166" fontId="0" fillId="0" borderId="37" xfId="0" applyNumberFormat="1" applyBorder="1"/>
    <xf numFmtId="166" fontId="0" fillId="0" borderId="2" xfId="0" applyNumberFormat="1" applyBorder="1"/>
    <xf numFmtId="0" fontId="3" fillId="0" borderId="2" xfId="0" applyFont="1" applyBorder="1" applyAlignment="1">
      <alignment vertical="justify" wrapText="1"/>
    </xf>
    <xf numFmtId="0" fontId="2" fillId="10" borderId="38" xfId="6" applyFont="1" applyBorder="1" applyAlignment="1">
      <alignment horizontal="center" vertical="justify" wrapText="1"/>
    </xf>
    <xf numFmtId="0" fontId="2" fillId="10" borderId="35" xfId="6" applyFont="1" applyBorder="1" applyAlignment="1">
      <alignment horizontal="center" vertical="justify" wrapText="1"/>
    </xf>
    <xf numFmtId="0" fontId="2" fillId="10" borderId="36" xfId="6" applyFont="1" applyBorder="1" applyAlignment="1">
      <alignment horizontal="center" vertical="justify" wrapText="1"/>
    </xf>
    <xf numFmtId="0" fontId="11" fillId="7" borderId="41" xfId="3" applyFont="1" applyAlignment="1">
      <alignment horizontal="center" vertical="justify" wrapText="1"/>
    </xf>
    <xf numFmtId="0" fontId="2" fillId="10" borderId="44" xfId="6" applyFont="1" applyBorder="1" applyAlignment="1">
      <alignment horizontal="center" vertical="justify" wrapText="1"/>
    </xf>
    <xf numFmtId="0" fontId="3" fillId="9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</cellXfs>
  <cellStyles count="8">
    <cellStyle name="20% - Énfasis1" xfId="6" builtinId="30"/>
    <cellStyle name="60% - Énfasis1" xfId="7" builtinId="32"/>
    <cellStyle name="Entrada" xfId="3" builtinId="20"/>
    <cellStyle name="Millares" xfId="1" builtinId="3"/>
    <cellStyle name="Normal" xfId="0" builtinId="0"/>
    <cellStyle name="Notas" xfId="5" builtinId="10"/>
    <cellStyle name="Porcentaje" xfId="2" builtinId="5"/>
    <cellStyle name="Salida" xfId="4" builtinId="21"/>
  </cellStyles>
  <dxfs count="10"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[ejercicio taller2.xlsx]Tabla CostosProyDepto!Tabla dinámica3</c:name>
    <c:fmtId val="5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"$"\ #,##0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12544"/>
        <c:axId val="55614848"/>
      </c:barChart>
      <c:catAx>
        <c:axId val="5561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55614848"/>
        <c:crosses val="autoZero"/>
        <c:auto val="1"/>
        <c:lblAlgn val="ctr"/>
        <c:lblOffset val="100"/>
        <c:noMultiLvlLbl val="0"/>
      </c:catAx>
      <c:valAx>
        <c:axId val="55614848"/>
        <c:scaling>
          <c:orientation val="minMax"/>
        </c:scaling>
        <c:delete val="0"/>
        <c:axPos val="l"/>
        <c:majorGridlines/>
        <c:numFmt formatCode="&quot;$&quot;\ #,##0" sourceLinked="1"/>
        <c:majorTickMark val="out"/>
        <c:minorTickMark val="none"/>
        <c:tickLblPos val="nextTo"/>
        <c:crossAx val="55612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[ejercicio taller2.xlsx]ConsolidaProyecto!Tabla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ConsolidaProyecto!$H$2</c:f>
              <c:strCache>
                <c:ptCount val="1"/>
                <c:pt idx="0">
                  <c:v>Suma de COSTO 2013</c:v>
                </c:pt>
              </c:strCache>
            </c:strRef>
          </c:tx>
          <c:invertIfNegative val="0"/>
          <c:cat>
            <c:multiLvlStrRef>
              <c:f>ConsolidaProyecto!$G$3:$G$39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CONTABILIDAD</c:v>
                  </c:pt>
                  <c:pt idx="3">
                    <c:v>CONTRATOS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CONTABILIDAD</c:v>
                  </c:pt>
                  <c:pt idx="11">
                    <c:v>CONTRATOS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CONTABILIDAD</c:v>
                  </c:pt>
                  <c:pt idx="19">
                    <c:v>CONTRATOS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CONTABILIDAD</c:v>
                  </c:pt>
                  <c:pt idx="27">
                    <c:v>CONTRATOS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TIC 2</c:v>
                  </c:pt>
                  <c:pt idx="16">
                    <c:v>Proyecto TIC 3</c:v>
                  </c:pt>
                  <c:pt idx="24">
                    <c:v>Proyecto TIC 4</c:v>
                  </c:pt>
                </c:lvl>
              </c:multiLvlStrCache>
            </c:multiLvlStrRef>
          </c:cat>
          <c:val>
            <c:numRef>
              <c:f>ConsolidaProyecto!$H$3:$H$39</c:f>
              <c:numCache>
                <c:formatCode>"$"\ #,##0</c:formatCode>
                <c:ptCount val="32"/>
                <c:pt idx="0">
                  <c:v>0</c:v>
                </c:pt>
                <c:pt idx="1">
                  <c:v>2562545.4545454546</c:v>
                </c:pt>
                <c:pt idx="2">
                  <c:v>31385454.545454547</c:v>
                </c:pt>
                <c:pt idx="3">
                  <c:v>9107457.6623376776</c:v>
                </c:pt>
                <c:pt idx="4">
                  <c:v>3332930.4935064889</c:v>
                </c:pt>
                <c:pt idx="5">
                  <c:v>5458261.0909090908</c:v>
                </c:pt>
                <c:pt idx="6">
                  <c:v>3939545.4545454546</c:v>
                </c:pt>
                <c:pt idx="7">
                  <c:v>0</c:v>
                </c:pt>
                <c:pt idx="8">
                  <c:v>0</c:v>
                </c:pt>
                <c:pt idx="9">
                  <c:v>29330000</c:v>
                </c:pt>
                <c:pt idx="10">
                  <c:v>52183500</c:v>
                </c:pt>
                <c:pt idx="11">
                  <c:v>125000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29989854</c:v>
                </c:pt>
                <c:pt idx="19">
                  <c:v>20985500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20985500</c:v>
                </c:pt>
                <c:pt idx="27">
                  <c:v>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ser>
          <c:idx val="1"/>
          <c:order val="1"/>
          <c:tx>
            <c:strRef>
              <c:f>ConsolidaProyecto!$I$2</c:f>
              <c:strCache>
                <c:ptCount val="1"/>
                <c:pt idx="0">
                  <c:v>Suma de COSTO 2014</c:v>
                </c:pt>
              </c:strCache>
            </c:strRef>
          </c:tx>
          <c:invertIfNegative val="0"/>
          <c:cat>
            <c:multiLvlStrRef>
              <c:f>ConsolidaProyecto!$G$3:$G$39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CONTABILIDAD</c:v>
                  </c:pt>
                  <c:pt idx="3">
                    <c:v>CONTRATOS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CONTABILIDAD</c:v>
                  </c:pt>
                  <c:pt idx="11">
                    <c:v>CONTRATOS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CONTABILIDAD</c:v>
                  </c:pt>
                  <c:pt idx="19">
                    <c:v>CONTRATOS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CONTABILIDAD</c:v>
                  </c:pt>
                  <c:pt idx="27">
                    <c:v>CONTRATOS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TIC 2</c:v>
                  </c:pt>
                  <c:pt idx="16">
                    <c:v>Proyecto TIC 3</c:v>
                  </c:pt>
                  <c:pt idx="24">
                    <c:v>Proyecto TIC 4</c:v>
                  </c:pt>
                </c:lvl>
              </c:multiLvlStrCache>
            </c:multiLvlStrRef>
          </c:cat>
          <c:val>
            <c:numRef>
              <c:f>ConsolidaProyecto!$I$3:$I$39</c:f>
              <c:numCache>
                <c:formatCode>General</c:formatCode>
                <c:ptCount val="32"/>
                <c:pt idx="0">
                  <c:v>12680181.818181818</c:v>
                </c:pt>
                <c:pt idx="1">
                  <c:v>30094298.181818184</c:v>
                </c:pt>
                <c:pt idx="2">
                  <c:v>10313214.545454547</c:v>
                </c:pt>
                <c:pt idx="3">
                  <c:v>11412163.636363637</c:v>
                </c:pt>
                <c:pt idx="4">
                  <c:v>0</c:v>
                </c:pt>
                <c:pt idx="5">
                  <c:v>10566818.181818182</c:v>
                </c:pt>
                <c:pt idx="6">
                  <c:v>1014414.5454545455</c:v>
                </c:pt>
                <c:pt idx="7">
                  <c:v>8030781.8181818184</c:v>
                </c:pt>
                <c:pt idx="8">
                  <c:v>0</c:v>
                </c:pt>
                <c:pt idx="9">
                  <c:v>27570200</c:v>
                </c:pt>
                <c:pt idx="10">
                  <c:v>62620200</c:v>
                </c:pt>
                <c:pt idx="11">
                  <c:v>187500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35987824.799999997</c:v>
                </c:pt>
                <c:pt idx="19">
                  <c:v>31478250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25182600</c:v>
                </c:pt>
                <c:pt idx="27">
                  <c:v>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ConsolidaProyecto!$J$2</c:f>
              <c:strCache>
                <c:ptCount val="1"/>
                <c:pt idx="0">
                  <c:v>Suma de COSTO 2015</c:v>
                </c:pt>
              </c:strCache>
            </c:strRef>
          </c:tx>
          <c:invertIfNegative val="0"/>
          <c:cat>
            <c:multiLvlStrRef>
              <c:f>ConsolidaProyecto!$G$3:$G$39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CONTABILIDAD</c:v>
                  </c:pt>
                  <c:pt idx="3">
                    <c:v>CONTRATOS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CONTABILIDAD</c:v>
                  </c:pt>
                  <c:pt idx="11">
                    <c:v>CONTRATOS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CONTABILIDAD</c:v>
                  </c:pt>
                  <c:pt idx="19">
                    <c:v>CONTRATOS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CONTABILIDAD</c:v>
                  </c:pt>
                  <c:pt idx="27">
                    <c:v>CONTRATOS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TIC 2</c:v>
                  </c:pt>
                  <c:pt idx="16">
                    <c:v>Proyecto TIC 3</c:v>
                  </c:pt>
                  <c:pt idx="24">
                    <c:v>Proyecto TIC 4</c:v>
                  </c:pt>
                </c:lvl>
              </c:multiLvlStrCache>
            </c:multiLvlStrRef>
          </c:cat>
          <c:val>
            <c:numRef>
              <c:f>ConsolidaProyecto!$J$3:$J$39</c:f>
              <c:numCache>
                <c:formatCode>General</c:formatCode>
                <c:ptCount val="32"/>
                <c:pt idx="0">
                  <c:v>7608109.0909090908</c:v>
                </c:pt>
                <c:pt idx="1">
                  <c:v>3043243.6363636367</c:v>
                </c:pt>
                <c:pt idx="2">
                  <c:v>7100901.8181818193</c:v>
                </c:pt>
                <c:pt idx="3">
                  <c:v>8876127.2727272734</c:v>
                </c:pt>
                <c:pt idx="4">
                  <c:v>0</c:v>
                </c:pt>
                <c:pt idx="5">
                  <c:v>10566818.181818182</c:v>
                </c:pt>
                <c:pt idx="6">
                  <c:v>1014414.5454545455</c:v>
                </c:pt>
                <c:pt idx="7">
                  <c:v>6762763.6363636367</c:v>
                </c:pt>
                <c:pt idx="8">
                  <c:v>37412000</c:v>
                </c:pt>
                <c:pt idx="9">
                  <c:v>29330000</c:v>
                </c:pt>
                <c:pt idx="10">
                  <c:v>52183500</c:v>
                </c:pt>
                <c:pt idx="11">
                  <c:v>125000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0</c:v>
                </c:pt>
                <c:pt idx="16">
                  <c:v>7412000</c:v>
                </c:pt>
                <c:pt idx="17">
                  <c:v>52183500</c:v>
                </c:pt>
                <c:pt idx="18">
                  <c:v>31904100</c:v>
                </c:pt>
                <c:pt idx="19">
                  <c:v>0</c:v>
                </c:pt>
                <c:pt idx="20">
                  <c:v>29330000</c:v>
                </c:pt>
                <c:pt idx="21">
                  <c:v>11976532.363636401</c:v>
                </c:pt>
                <c:pt idx="22">
                  <c:v>43198700</c:v>
                </c:pt>
                <c:pt idx="23">
                  <c:v>24148600</c:v>
                </c:pt>
                <c:pt idx="24">
                  <c:v>38170371.32</c:v>
                </c:pt>
                <c:pt idx="25">
                  <c:v>10606778</c:v>
                </c:pt>
                <c:pt idx="26">
                  <c:v>20985500</c:v>
                </c:pt>
                <c:pt idx="27">
                  <c:v>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23840"/>
        <c:axId val="55925376"/>
      </c:barChart>
      <c:catAx>
        <c:axId val="5592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55925376"/>
        <c:crosses val="autoZero"/>
        <c:auto val="1"/>
        <c:lblAlgn val="ctr"/>
        <c:lblOffset val="100"/>
        <c:noMultiLvlLbl val="0"/>
      </c:catAx>
      <c:valAx>
        <c:axId val="559253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592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180975</xdr:rowOff>
    </xdr:from>
    <xdr:to>
      <xdr:col>11</xdr:col>
      <xdr:colOff>628650</xdr:colOff>
      <xdr:row>19</xdr:row>
      <xdr:rowOff>90487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45</xdr:row>
      <xdr:rowOff>95250</xdr:rowOff>
    </xdr:from>
    <xdr:to>
      <xdr:col>9</xdr:col>
      <xdr:colOff>152400</xdr:colOff>
      <xdr:row>70</xdr:row>
      <xdr:rowOff>38099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84.490485069444" createdVersion="4" refreshedVersion="4" minRefreshableVersion="3" recordCount="32">
  <cacheSource type="worksheet">
    <worksheetSource ref="A2:E34" sheet="ConsolidaProyecto"/>
  </cacheSource>
  <cacheFields count="5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TIC 1"/>
        <s v="Proyecto TIC 2"/>
        <s v="Proyecto TIC 3"/>
        <s v="Proyecto TIC 4"/>
      </sharedItems>
    </cacheField>
    <cacheField name="COSTO 2013" numFmtId="3">
      <sharedItems containsSemiMixedTypes="0" containsString="0" containsNumber="1" minValue="0" maxValue="69480000"/>
    </cacheField>
    <cacheField name="COSTO 2014" numFmtId="3">
      <sharedItems containsSemiMixedTypes="0" containsString="0" containsNumber="1" minValue="0" maxValue="125064000"/>
    </cacheField>
    <cacheField name="COSTO 2015" numFmtId="0">
      <sharedItems containsSemiMixedTypes="0" containsString="0" containsNumber="1" minValue="0" maxValue="5218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  <n v="10566818.181818182"/>
  </r>
  <r>
    <x v="1"/>
    <x v="0"/>
    <n v="9107457.6623376776"/>
    <n v="11412163.636363637"/>
    <n v="8876127.2727272734"/>
  </r>
  <r>
    <x v="2"/>
    <x v="0"/>
    <n v="3332930.4935064889"/>
    <n v="0"/>
    <n v="0"/>
  </r>
  <r>
    <x v="3"/>
    <x v="0"/>
    <n v="31385454.545454547"/>
    <n v="10313214.545454547"/>
    <n v="7100901.8181818193"/>
  </r>
  <r>
    <x v="4"/>
    <x v="0"/>
    <n v="2562545.4545454546"/>
    <n v="30094298.181818184"/>
    <n v="3043243.6363636367"/>
  </r>
  <r>
    <x v="5"/>
    <x v="0"/>
    <n v="0"/>
    <n v="8030781.8181818184"/>
    <n v="6762763.6363636367"/>
  </r>
  <r>
    <x v="6"/>
    <x v="0"/>
    <n v="3939545.4545454546"/>
    <n v="1014414.5454545455"/>
    <n v="1014414.5454545455"/>
  </r>
  <r>
    <x v="7"/>
    <x v="0"/>
    <n v="0"/>
    <n v="12680181.818181818"/>
    <n v="7608109.0909090908"/>
  </r>
  <r>
    <x v="0"/>
    <x v="1"/>
    <n v="43198700"/>
    <n v="40606778"/>
    <n v="43198700"/>
  </r>
  <r>
    <x v="1"/>
    <x v="1"/>
    <n v="125000"/>
    <n v="187500"/>
    <n v="125000"/>
  </r>
  <r>
    <x v="2"/>
    <x v="1"/>
    <n v="24148600"/>
    <n v="16904020"/>
    <n v="24148600"/>
  </r>
  <r>
    <x v="3"/>
    <x v="1"/>
    <n v="52183500"/>
    <n v="62620200"/>
    <n v="52183500"/>
  </r>
  <r>
    <x v="4"/>
    <x v="1"/>
    <n v="29330000"/>
    <n v="27570200"/>
    <n v="29330000"/>
  </r>
  <r>
    <x v="5"/>
    <x v="1"/>
    <n v="69480000"/>
    <n v="0"/>
    <n v="0"/>
  </r>
  <r>
    <x v="6"/>
    <x v="1"/>
    <n v="37412000"/>
    <n v="41153200"/>
    <n v="37412000"/>
  </r>
  <r>
    <x v="7"/>
    <x v="1"/>
    <n v="0"/>
    <n v="0"/>
    <n v="37412000"/>
  </r>
  <r>
    <x v="0"/>
    <x v="2"/>
    <n v="12881000.000000002"/>
    <n v="12108140.000000002"/>
    <n v="11976532.363636401"/>
  </r>
  <r>
    <x v="1"/>
    <x v="2"/>
    <n v="20985500"/>
    <n v="31478250"/>
    <n v="0"/>
  </r>
  <r>
    <x v="2"/>
    <x v="2"/>
    <n v="40606778"/>
    <n v="28424744.599999998"/>
    <n v="29330000"/>
  </r>
  <r>
    <x v="3"/>
    <x v="2"/>
    <n v="29989854"/>
    <n v="35987824.799999997"/>
    <n v="31904100"/>
  </r>
  <r>
    <x v="4"/>
    <x v="2"/>
    <n v="24148600"/>
    <n v="22699684"/>
    <n v="52183500"/>
  </r>
  <r>
    <x v="5"/>
    <x v="2"/>
    <n v="52183500"/>
    <n v="0"/>
    <n v="24148600"/>
  </r>
  <r>
    <x v="6"/>
    <x v="2"/>
    <n v="29330000"/>
    <n v="32263000.000000004"/>
    <n v="43198700"/>
  </r>
  <r>
    <x v="7"/>
    <x v="2"/>
    <n v="69480000"/>
    <n v="125064000"/>
    <n v="7412000"/>
  </r>
  <r>
    <x v="0"/>
    <x v="3"/>
    <n v="37412000"/>
    <n v="35167280"/>
    <n v="37412000"/>
  </r>
  <r>
    <x v="1"/>
    <x v="3"/>
    <n v="0"/>
    <n v="0"/>
    <n v="0"/>
  </r>
  <r>
    <x v="2"/>
    <x v="3"/>
    <n v="12881000.000000002"/>
    <n v="9016700"/>
    <n v="12881000.000000002"/>
  </r>
  <r>
    <x v="3"/>
    <x v="3"/>
    <n v="20985500"/>
    <n v="25182600"/>
    <n v="20985500"/>
  </r>
  <r>
    <x v="4"/>
    <x v="3"/>
    <n v="40606778"/>
    <n v="38170371.32"/>
    <n v="10606778"/>
  </r>
  <r>
    <x v="5"/>
    <x v="3"/>
    <n v="12108140.000000002"/>
    <n v="0"/>
    <n v="0"/>
  </r>
  <r>
    <x v="6"/>
    <x v="3"/>
    <n v="19726370"/>
    <n v="21699007"/>
    <n v="19726370"/>
  </r>
  <r>
    <x v="7"/>
    <x v="3"/>
    <n v="38170371.32"/>
    <n v="68706668.376000002"/>
    <n v="38170371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6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 numFmtId="166"/>
    <dataField name="COSTOS 2014" fld="2" baseField="0" baseItem="0"/>
  </dataFields>
  <formats count="10">
    <format dxfId="9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2"/>
          </reference>
        </references>
      </pivotArea>
    </format>
    <format dxfId="7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6">
      <pivotArea collapsedLevelsAreSubtotals="1" fieldPosition="0">
        <references count="1">
          <reference field="1" count="1">
            <x v="3"/>
          </reference>
        </references>
      </pivotArea>
    </format>
    <format dxfId="5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4">
      <pivotArea grandRow="1" outline="0" collapsedLevelsAreSubtotals="1" fieldPosition="0"/>
    </format>
    <format dxfId="3">
      <pivotArea collapsedLevelsAreSubtotals="1" fieldPosition="0">
        <references count="1">
          <reference field="1" count="1">
            <x v="0"/>
          </reference>
        </references>
      </pivotArea>
    </format>
    <format dxfId="2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">
      <pivotArea collapsedLevelsAreSubtotals="1" fieldPosition="0">
        <references count="1">
          <reference field="1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G2:J39" firstHeaderRow="0" firstDataRow="1" firstDataCol="1"/>
  <pivotFields count="5">
    <pivotField axis="axisRow" showAll="0">
      <items count="9">
        <item x="7"/>
        <item x="4"/>
        <item x="3"/>
        <item x="1"/>
        <item x="2"/>
        <item x="0"/>
        <item x="6"/>
        <item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numFmtId="3" showAll="0"/>
    <pivotField dataField="1" numFmtId="3" showAll="0"/>
    <pivotField dataField="1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OSTO 2013" fld="2" baseField="0" baseItem="0" numFmtId="166"/>
    <dataField name="Suma de COSTO 2014" fld="3" baseField="0" baseItem="0"/>
    <dataField name="Suma de COSTO 2015" fld="4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4" sqref="C4"/>
    </sheetView>
  </sheetViews>
  <sheetFormatPr baseColWidth="10" defaultRowHeight="15" x14ac:dyDescent="0.2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 x14ac:dyDescent="0.3">
      <c r="B1" s="9"/>
      <c r="C1" s="9"/>
      <c r="D1" s="166">
        <v>0.4</v>
      </c>
      <c r="E1" s="9"/>
      <c r="F1" s="9"/>
      <c r="G1" s="9"/>
      <c r="H1" s="166">
        <v>0.3</v>
      </c>
      <c r="I1" s="9"/>
      <c r="J1" s="9"/>
      <c r="K1" s="166">
        <v>0.15</v>
      </c>
      <c r="L1" s="9"/>
      <c r="M1" s="9"/>
      <c r="N1" s="166">
        <v>0.15</v>
      </c>
      <c r="O1" s="9"/>
      <c r="P1" s="166">
        <f>SUM(D1,H1,K1,N1)</f>
        <v>1</v>
      </c>
    </row>
    <row r="2" spans="1:16" ht="16.5" thickBot="1" x14ac:dyDescent="0.3">
      <c r="A2" s="252" t="s">
        <v>177</v>
      </c>
      <c r="B2" s="253" t="s">
        <v>201</v>
      </c>
      <c r="C2" s="254"/>
      <c r="D2" s="254"/>
      <c r="E2" s="254"/>
      <c r="F2" s="255"/>
      <c r="G2" s="256" t="s">
        <v>202</v>
      </c>
      <c r="H2" s="256"/>
      <c r="I2" s="256"/>
      <c r="J2" s="257" t="s">
        <v>203</v>
      </c>
      <c r="K2" s="257"/>
      <c r="L2" s="257"/>
      <c r="M2" s="258" t="s">
        <v>204</v>
      </c>
      <c r="N2" s="258"/>
      <c r="O2" s="258"/>
      <c r="P2" s="158" t="s">
        <v>182</v>
      </c>
    </row>
    <row r="3" spans="1:16" ht="45" customHeight="1" x14ac:dyDescent="0.25">
      <c r="A3" s="252"/>
      <c r="B3" s="161" t="s">
        <v>188</v>
      </c>
      <c r="C3" s="165" t="s">
        <v>225</v>
      </c>
      <c r="D3" s="162" t="s">
        <v>200</v>
      </c>
      <c r="E3" s="162" t="s">
        <v>199</v>
      </c>
      <c r="F3" s="163" t="s">
        <v>198</v>
      </c>
      <c r="G3" s="162" t="s">
        <v>197</v>
      </c>
      <c r="H3" s="162" t="s">
        <v>196</v>
      </c>
      <c r="I3" s="162" t="s">
        <v>195</v>
      </c>
      <c r="J3" s="162" t="s">
        <v>194</v>
      </c>
      <c r="K3" s="162" t="s">
        <v>193</v>
      </c>
      <c r="L3" s="162" t="s">
        <v>192</v>
      </c>
      <c r="M3" s="162" t="s">
        <v>191</v>
      </c>
      <c r="N3" s="162" t="s">
        <v>190</v>
      </c>
      <c r="O3" s="164" t="s">
        <v>189</v>
      </c>
      <c r="P3" s="158"/>
    </row>
    <row r="4" spans="1:16" ht="18.75" customHeight="1" x14ac:dyDescent="0.25">
      <c r="A4" s="252"/>
      <c r="B4" s="160">
        <v>0.15</v>
      </c>
      <c r="C4" s="160">
        <v>0.15</v>
      </c>
      <c r="D4" s="160">
        <v>0.15</v>
      </c>
      <c r="E4" s="160">
        <v>0.2</v>
      </c>
      <c r="F4" s="160">
        <v>0.35</v>
      </c>
      <c r="G4" s="160">
        <v>0.3</v>
      </c>
      <c r="H4" s="160">
        <v>0.3</v>
      </c>
      <c r="I4" s="160">
        <v>0.4</v>
      </c>
      <c r="J4" s="160">
        <v>0.2</v>
      </c>
      <c r="K4" s="160">
        <v>0.4</v>
      </c>
      <c r="L4" s="160">
        <v>0.4</v>
      </c>
      <c r="M4" s="160">
        <v>0.2</v>
      </c>
      <c r="N4" s="160">
        <v>0.4</v>
      </c>
      <c r="O4" s="160">
        <v>0.4</v>
      </c>
      <c r="P4" s="159"/>
    </row>
    <row r="5" spans="1:16" ht="15.75" x14ac:dyDescent="0.25">
      <c r="A5" s="9" t="s">
        <v>178</v>
      </c>
      <c r="B5" s="106">
        <v>2</v>
      </c>
      <c r="C5" s="106">
        <v>1</v>
      </c>
      <c r="D5" s="106">
        <v>4</v>
      </c>
      <c r="E5" s="106">
        <v>4.3333333333333304</v>
      </c>
      <c r="F5" s="106">
        <v>5</v>
      </c>
      <c r="G5" s="106">
        <v>4</v>
      </c>
      <c r="H5" s="106">
        <v>3</v>
      </c>
      <c r="I5" s="106">
        <v>5</v>
      </c>
      <c r="J5" s="106">
        <v>5</v>
      </c>
      <c r="K5" s="106">
        <v>4</v>
      </c>
      <c r="L5" s="106">
        <v>3</v>
      </c>
      <c r="M5" s="106">
        <v>4</v>
      </c>
      <c r="N5" s="106">
        <v>5</v>
      </c>
      <c r="O5" s="106">
        <v>2</v>
      </c>
      <c r="P5" s="154">
        <f>(B5*$B$4+C5*$C$4+D5*$D$4+E5*$E$4+F5*$F$4)*$D$1+(G5*$G$4+H5*$H$4+I5*$I$4)*$H$1+(J5*$J$4+K5*$K$4+L5*$L$4)*K1+(M5*$M$4+N5*$N$4+O5*$O$4)*$N$1</f>
        <v>3.8066666666666666</v>
      </c>
    </row>
    <row r="6" spans="1:16" ht="15.75" x14ac:dyDescent="0.25">
      <c r="A6" s="9" t="s">
        <v>179</v>
      </c>
      <c r="B6" s="106">
        <v>3</v>
      </c>
      <c r="C6" s="106">
        <v>3</v>
      </c>
      <c r="D6" s="106">
        <v>3</v>
      </c>
      <c r="E6" s="106">
        <v>3</v>
      </c>
      <c r="F6" s="106">
        <v>3</v>
      </c>
      <c r="G6" s="106">
        <v>4</v>
      </c>
      <c r="H6" s="106">
        <v>3</v>
      </c>
      <c r="I6" s="106">
        <v>3</v>
      </c>
      <c r="J6" s="106">
        <v>4</v>
      </c>
      <c r="K6" s="106">
        <v>3</v>
      </c>
      <c r="L6" s="106">
        <v>3</v>
      </c>
      <c r="M6" s="106">
        <v>4</v>
      </c>
      <c r="N6" s="106">
        <v>3</v>
      </c>
      <c r="O6" s="106">
        <v>3</v>
      </c>
      <c r="P6" s="154">
        <f>(B6*$B$4+C6*$C$4+D6*$D$4+E6*$E$4+F6*$F$4)*$D$1+(G6*$G$4+H6*$H$4+I6*$I$4)*$H$1+(J6*$J$4+K6*$K$4+L6*$L$4)*K2+(M6*$M$4+N6*$N$4+O6*$O$4)*$N$1</f>
        <v>2.67</v>
      </c>
    </row>
    <row r="7" spans="1:16" ht="15.75" x14ac:dyDescent="0.25">
      <c r="A7" s="9" t="s">
        <v>180</v>
      </c>
      <c r="B7" s="106">
        <v>4</v>
      </c>
      <c r="C7" s="106">
        <v>3</v>
      </c>
      <c r="D7" s="106">
        <v>5</v>
      </c>
      <c r="E7" s="106">
        <v>5</v>
      </c>
      <c r="F7" s="106">
        <v>3</v>
      </c>
      <c r="G7" s="106">
        <v>4</v>
      </c>
      <c r="H7" s="106">
        <v>4</v>
      </c>
      <c r="I7" s="106">
        <v>4</v>
      </c>
      <c r="J7" s="106">
        <v>4</v>
      </c>
      <c r="K7" s="106">
        <v>4</v>
      </c>
      <c r="L7" s="106">
        <v>4.5</v>
      </c>
      <c r="M7" s="106">
        <v>3</v>
      </c>
      <c r="N7" s="106">
        <v>4</v>
      </c>
      <c r="O7" s="106">
        <v>3</v>
      </c>
      <c r="P7" s="154">
        <v>3.45</v>
      </c>
    </row>
    <row r="8" spans="1:16" ht="15.75" x14ac:dyDescent="0.25">
      <c r="A8" s="9" t="s">
        <v>181</v>
      </c>
      <c r="B8" s="106">
        <v>1</v>
      </c>
      <c r="C8" s="106">
        <v>2</v>
      </c>
      <c r="D8" s="106">
        <v>4</v>
      </c>
      <c r="E8" s="106">
        <v>5.3333333333333304</v>
      </c>
      <c r="F8" s="106">
        <v>6.8333333333333304</v>
      </c>
      <c r="G8" s="106">
        <v>4</v>
      </c>
      <c r="H8" s="106">
        <v>5</v>
      </c>
      <c r="I8" s="106">
        <v>3</v>
      </c>
      <c r="J8" s="106">
        <v>2</v>
      </c>
      <c r="K8" s="106">
        <v>4</v>
      </c>
      <c r="L8" s="106">
        <v>5</v>
      </c>
      <c r="M8" s="106">
        <v>4</v>
      </c>
      <c r="N8" s="106">
        <v>5</v>
      </c>
      <c r="O8" s="106">
        <v>5</v>
      </c>
      <c r="P8" s="154">
        <f>(B8*$B$4+C8*$C$4+D8*$D$4+E8*$E$4+F8*$F$4)*$D$1+(G8*$G$4+H8*$H$4+I8*$I$4)*$H$1+(J8*$J$4+K8*$K$4+L8*$L$4)*K4+(M8*$M$4+N8*$N$4+O8*$O$4)*$N$1</f>
        <v>5.2933333333333321</v>
      </c>
    </row>
    <row r="9" spans="1:16" x14ac:dyDescent="0.25">
      <c r="D9"/>
      <c r="E9"/>
      <c r="F9"/>
    </row>
    <row r="10" spans="1:16" x14ac:dyDescent="0.25">
      <c r="A10" s="151"/>
      <c r="B10" s="119"/>
      <c r="C10" s="119"/>
      <c r="D10" s="152"/>
      <c r="E10" s="152"/>
      <c r="F10" s="153"/>
      <c r="G10" s="119"/>
    </row>
    <row r="11" spans="1:16" x14ac:dyDescent="0.25">
      <c r="A11" s="151"/>
      <c r="B11" s="119"/>
      <c r="C11" s="119"/>
      <c r="D11" s="152"/>
      <c r="E11" s="152"/>
      <c r="F11" s="153"/>
      <c r="G11" s="119"/>
    </row>
    <row r="12" spans="1:16" x14ac:dyDescent="0.25">
      <c r="A12" s="151"/>
      <c r="B12" s="119"/>
      <c r="C12" s="119"/>
      <c r="D12" s="152"/>
      <c r="E12" s="152"/>
      <c r="F12" s="153"/>
      <c r="G12" s="119"/>
    </row>
    <row r="13" spans="1:16" x14ac:dyDescent="0.25">
      <c r="A13" s="151"/>
      <c r="B13" s="119"/>
      <c r="C13" s="119"/>
      <c r="D13" s="152"/>
      <c r="E13" s="152"/>
      <c r="F13" s="153"/>
      <c r="G13" s="119"/>
    </row>
    <row r="14" spans="1:16" x14ac:dyDescent="0.25">
      <c r="A14" s="151"/>
      <c r="B14" s="119"/>
      <c r="C14" s="119"/>
      <c r="D14" s="152"/>
      <c r="E14" s="152"/>
      <c r="F14" s="153"/>
      <c r="G14" s="119"/>
    </row>
    <row r="15" spans="1:16" x14ac:dyDescent="0.25">
      <c r="A15" s="151"/>
      <c r="B15" s="119"/>
      <c r="C15" s="119"/>
      <c r="D15" s="152"/>
      <c r="E15" s="152"/>
      <c r="F15" s="153"/>
      <c r="G15" s="119"/>
    </row>
    <row r="16" spans="1:16" x14ac:dyDescent="0.25">
      <c r="A16" s="151"/>
      <c r="B16" s="119"/>
      <c r="C16" s="119"/>
      <c r="D16" s="152"/>
      <c r="E16" s="152"/>
      <c r="F16" s="153"/>
      <c r="G16" s="119"/>
    </row>
    <row r="17" spans="4:6" x14ac:dyDescent="0.25">
      <c r="D17" s="5"/>
      <c r="E17" s="5"/>
      <c r="F17" s="4"/>
    </row>
    <row r="18" spans="4:6" x14ac:dyDescent="0.25">
      <c r="D18" s="5"/>
      <c r="E18" s="5"/>
      <c r="F18" s="4"/>
    </row>
    <row r="19" spans="4:6" x14ac:dyDescent="0.25">
      <c r="D19" s="5"/>
    </row>
    <row r="20" spans="4:6" x14ac:dyDescent="0.25">
      <c r="D20" s="5"/>
    </row>
    <row r="21" spans="4:6" x14ac:dyDescent="0.25">
      <c r="D21" s="5"/>
    </row>
    <row r="22" spans="4:6" x14ac:dyDescent="0.25">
      <c r="D22" s="5"/>
    </row>
    <row r="23" spans="4:6" x14ac:dyDescent="0.25">
      <c r="D23" s="5"/>
    </row>
    <row r="24" spans="4:6" x14ac:dyDescent="0.25">
      <c r="D24" s="5"/>
    </row>
    <row r="25" spans="4:6" x14ac:dyDescent="0.25">
      <c r="D25" s="5"/>
    </row>
    <row r="26" spans="4:6" x14ac:dyDescent="0.25">
      <c r="D26" s="5"/>
    </row>
    <row r="27" spans="4:6" x14ac:dyDescent="0.25">
      <c r="D27" s="5"/>
    </row>
    <row r="28" spans="4:6" x14ac:dyDescent="0.25">
      <c r="D28" s="5"/>
    </row>
    <row r="29" spans="4:6" x14ac:dyDescent="0.25">
      <c r="D29" s="5"/>
    </row>
    <row r="30" spans="4:6" x14ac:dyDescent="0.25">
      <c r="D30" s="5"/>
    </row>
    <row r="31" spans="4:6" x14ac:dyDescent="0.25">
      <c r="D31" s="5"/>
    </row>
  </sheetData>
  <mergeCells count="5">
    <mergeCell ref="A2:A4"/>
    <mergeCell ref="B2:F2"/>
    <mergeCell ref="G2:I2"/>
    <mergeCell ref="J2:L2"/>
    <mergeCell ref="M2:O2"/>
  </mergeCells>
  <dataValidations xWindow="85" yWindow="392" count="3">
    <dataValidation type="whole" allowBlank="1" showInputMessage="1" showErrorMessage="1" error="ojo repita el valor" promptTitle="categoria de empledo" prompt="debe minimo uno maximo 3" sqref="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  <dataValidation allowBlank="1" showInputMessage="1" showErrorMessage="1" promptTitle="categoria de empledo" sqref="C3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4" sqref="H4"/>
    </sheetView>
  </sheetViews>
  <sheetFormatPr baseColWidth="10" defaultRowHeight="15" x14ac:dyDescent="0.2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 x14ac:dyDescent="0.25">
      <c r="A1" s="96" t="s">
        <v>64</v>
      </c>
      <c r="B1" s="263" t="s">
        <v>69</v>
      </c>
      <c r="C1" s="263"/>
      <c r="D1" s="96"/>
      <c r="E1" s="263" t="s">
        <v>70</v>
      </c>
      <c r="F1" s="263"/>
      <c r="G1" s="96"/>
      <c r="H1" s="263" t="s">
        <v>71</v>
      </c>
      <c r="I1" s="263"/>
      <c r="J1" s="92"/>
    </row>
    <row r="2" spans="1:10" x14ac:dyDescent="0.25">
      <c r="A2" s="91"/>
      <c r="B2" s="91" t="s">
        <v>66</v>
      </c>
      <c r="C2" s="91" t="s">
        <v>67</v>
      </c>
      <c r="D2" s="91" t="s">
        <v>68</v>
      </c>
      <c r="E2" s="91" t="s">
        <v>66</v>
      </c>
      <c r="F2" s="91" t="s">
        <v>67</v>
      </c>
      <c r="G2" s="91" t="s">
        <v>68</v>
      </c>
      <c r="H2" s="91" t="s">
        <v>66</v>
      </c>
      <c r="I2" s="91" t="s">
        <v>67</v>
      </c>
      <c r="J2" s="91" t="s">
        <v>68</v>
      </c>
    </row>
    <row r="3" spans="1:10" x14ac:dyDescent="0.25">
      <c r="A3" s="91" t="s">
        <v>65</v>
      </c>
      <c r="B3" s="93">
        <v>300000000</v>
      </c>
      <c r="C3" s="94">
        <v>0.12</v>
      </c>
      <c r="D3" s="95">
        <v>10</v>
      </c>
      <c r="E3" s="93">
        <v>250000000</v>
      </c>
      <c r="F3" s="94">
        <v>0.16</v>
      </c>
      <c r="G3" s="95">
        <v>10</v>
      </c>
      <c r="H3" s="93">
        <v>300000000</v>
      </c>
      <c r="I3" s="94">
        <v>0.13</v>
      </c>
      <c r="J3" s="95">
        <v>10</v>
      </c>
    </row>
    <row r="4" spans="1:10" x14ac:dyDescent="0.25">
      <c r="A4" s="92" t="s">
        <v>72</v>
      </c>
      <c r="B4" s="93">
        <v>400000000</v>
      </c>
      <c r="C4" s="94">
        <v>0.13</v>
      </c>
      <c r="D4" s="95">
        <v>8</v>
      </c>
      <c r="E4" s="93">
        <v>450000000</v>
      </c>
      <c r="F4" s="94">
        <v>0.14000000000000001</v>
      </c>
      <c r="G4" s="95">
        <v>12</v>
      </c>
      <c r="H4" s="93">
        <v>420000000</v>
      </c>
      <c r="I4" s="94">
        <v>0.14000000000000001</v>
      </c>
      <c r="J4" s="95">
        <v>12</v>
      </c>
    </row>
  </sheetData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1" sqref="F11"/>
    </sheetView>
  </sheetViews>
  <sheetFormatPr baseColWidth="10" defaultRowHeight="15" x14ac:dyDescent="0.2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 x14ac:dyDescent="0.3">
      <c r="A1" s="43" t="s">
        <v>56</v>
      </c>
      <c r="B1" s="58" t="s">
        <v>9</v>
      </c>
      <c r="C1" s="59" t="s">
        <v>0</v>
      </c>
      <c r="D1" s="44"/>
      <c r="E1" s="219" t="s">
        <v>88</v>
      </c>
      <c r="F1" s="221" t="s">
        <v>143</v>
      </c>
    </row>
    <row r="2" spans="1:6" x14ac:dyDescent="0.25">
      <c r="A2" s="218" t="s">
        <v>213</v>
      </c>
      <c r="B2" s="60">
        <v>1</v>
      </c>
      <c r="C2" s="61" t="s">
        <v>25</v>
      </c>
      <c r="E2" s="218" t="s">
        <v>74</v>
      </c>
      <c r="F2" s="222" t="s">
        <v>144</v>
      </c>
    </row>
    <row r="3" spans="1:6" ht="15.75" thickBot="1" x14ac:dyDescent="0.3">
      <c r="A3" s="56"/>
      <c r="B3" s="60">
        <v>2</v>
      </c>
      <c r="C3" s="61" t="s">
        <v>183</v>
      </c>
      <c r="E3" s="220" t="s">
        <v>61</v>
      </c>
      <c r="F3" s="222" t="s">
        <v>145</v>
      </c>
    </row>
    <row r="4" spans="1:6" ht="15.75" thickBot="1" x14ac:dyDescent="0.3">
      <c r="A4" s="56"/>
      <c r="B4" s="60">
        <v>3</v>
      </c>
      <c r="C4" s="61" t="s">
        <v>212</v>
      </c>
      <c r="F4" s="223" t="s">
        <v>214</v>
      </c>
    </row>
    <row r="5" spans="1:6" x14ac:dyDescent="0.25">
      <c r="A5" s="56"/>
      <c r="B5" s="60">
        <v>4</v>
      </c>
      <c r="C5" s="61" t="s">
        <v>27</v>
      </c>
    </row>
    <row r="6" spans="1:6" x14ac:dyDescent="0.25">
      <c r="A6" s="56"/>
      <c r="B6" s="60">
        <v>5</v>
      </c>
      <c r="C6" s="61" t="s">
        <v>28</v>
      </c>
    </row>
    <row r="7" spans="1:6" ht="15.75" thickBot="1" x14ac:dyDescent="0.3">
      <c r="A7" s="57"/>
      <c r="B7" s="60">
        <v>6</v>
      </c>
      <c r="C7" s="61" t="s">
        <v>29</v>
      </c>
    </row>
    <row r="8" spans="1:6" x14ac:dyDescent="0.25">
      <c r="B8" s="60">
        <v>7</v>
      </c>
      <c r="C8" s="61" t="s">
        <v>30</v>
      </c>
    </row>
    <row r="9" spans="1:6" ht="15.75" thickBot="1" x14ac:dyDescent="0.3">
      <c r="B9" s="62">
        <v>8</v>
      </c>
      <c r="C9" s="63" t="s">
        <v>31</v>
      </c>
    </row>
  </sheetData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A2" sqref="A2"/>
    </sheetView>
  </sheetViews>
  <sheetFormatPr baseColWidth="10" defaultRowHeight="15" x14ac:dyDescent="0.2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 x14ac:dyDescent="0.25">
      <c r="A1" s="11" t="s">
        <v>132</v>
      </c>
      <c r="B1" s="107" t="s">
        <v>133</v>
      </c>
      <c r="C1" s="107" t="s">
        <v>173</v>
      </c>
      <c r="D1" s="107" t="s">
        <v>134</v>
      </c>
      <c r="E1" s="107" t="s">
        <v>161</v>
      </c>
    </row>
    <row r="2" spans="1:5" x14ac:dyDescent="0.25">
      <c r="A2" s="9" t="s">
        <v>135</v>
      </c>
      <c r="B2" s="9" t="s">
        <v>138</v>
      </c>
      <c r="C2" s="106">
        <v>8</v>
      </c>
      <c r="D2" s="9" t="s">
        <v>140</v>
      </c>
      <c r="E2" s="9" t="s">
        <v>162</v>
      </c>
    </row>
    <row r="3" spans="1:5" x14ac:dyDescent="0.25">
      <c r="A3" s="9" t="s">
        <v>137</v>
      </c>
      <c r="B3" s="9" t="s">
        <v>139</v>
      </c>
      <c r="C3" s="106">
        <v>1</v>
      </c>
      <c r="D3" s="9" t="s">
        <v>172</v>
      </c>
      <c r="E3" s="9" t="s">
        <v>163</v>
      </c>
    </row>
    <row r="4" spans="1:5" x14ac:dyDescent="0.25">
      <c r="A4" s="9" t="s">
        <v>136</v>
      </c>
      <c r="B4" s="9" t="s">
        <v>142</v>
      </c>
      <c r="C4" s="106">
        <v>6</v>
      </c>
      <c r="D4" s="9" t="s">
        <v>141</v>
      </c>
      <c r="E4" s="9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F21" sqref="F21"/>
    </sheetView>
  </sheetViews>
  <sheetFormatPr baseColWidth="10" defaultRowHeight="15" x14ac:dyDescent="0.2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 x14ac:dyDescent="0.25">
      <c r="C1" t="s">
        <v>146</v>
      </c>
      <c r="E1" t="s">
        <v>125</v>
      </c>
      <c r="F1" s="3">
        <f ca="1">TODAY()</f>
        <v>41584</v>
      </c>
    </row>
    <row r="2" spans="1:13" x14ac:dyDescent="0.25">
      <c r="A2" s="11" t="s">
        <v>92</v>
      </c>
      <c r="B2" s="12" t="s">
        <v>44</v>
      </c>
      <c r="C2" s="12" t="s">
        <v>43</v>
      </c>
      <c r="D2" s="12" t="s">
        <v>45</v>
      </c>
      <c r="E2" s="12" t="s">
        <v>46</v>
      </c>
      <c r="F2" s="12" t="s">
        <v>47</v>
      </c>
      <c r="G2" s="12" t="s">
        <v>48</v>
      </c>
      <c r="H2" s="12" t="s">
        <v>49</v>
      </c>
      <c r="I2" s="12" t="s">
        <v>50</v>
      </c>
      <c r="J2" s="12" t="s">
        <v>51</v>
      </c>
      <c r="K2" s="12" t="s">
        <v>52</v>
      </c>
      <c r="L2" s="12" t="s">
        <v>53</v>
      </c>
      <c r="M2" s="173" t="s">
        <v>35</v>
      </c>
    </row>
    <row r="3" spans="1:13" ht="15.75" thickBot="1" x14ac:dyDescent="0.3">
      <c r="A3" s="39" t="s">
        <v>77</v>
      </c>
      <c r="B3" s="36">
        <f>B12</f>
        <v>120000000</v>
      </c>
      <c r="C3" s="36">
        <v>0</v>
      </c>
      <c r="D3" s="36">
        <v>29900000</v>
      </c>
      <c r="E3" s="36">
        <v>48500000</v>
      </c>
      <c r="F3" s="36">
        <f>E3*1.6</f>
        <v>77600000</v>
      </c>
      <c r="G3" s="36">
        <v>79000000</v>
      </c>
      <c r="H3" s="36">
        <f>G3*1.6</f>
        <v>126400000</v>
      </c>
      <c r="I3" s="36">
        <f>H3*1.25</f>
        <v>158000000</v>
      </c>
      <c r="J3" s="36">
        <f>I3*1.3</f>
        <v>205400000</v>
      </c>
      <c r="K3" s="36">
        <f>J3*0.6</f>
        <v>123240000</v>
      </c>
      <c r="L3" s="36">
        <f>K3*0.4</f>
        <v>49296000</v>
      </c>
    </row>
    <row r="4" spans="1:13" x14ac:dyDescent="0.25">
      <c r="A4" s="40" t="s">
        <v>78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x14ac:dyDescent="0.25">
      <c r="A5" s="41" t="s">
        <v>79</v>
      </c>
      <c r="B5" s="6">
        <v>84737061.818181813</v>
      </c>
      <c r="C5" s="6">
        <f>+B5*1.08</f>
        <v>91516026.763636366</v>
      </c>
      <c r="D5" s="6">
        <f>+C5*0.95</f>
        <v>86940225.425454542</v>
      </c>
      <c r="E5" s="6">
        <f>+D5*0.9</f>
        <v>78246202.882909089</v>
      </c>
      <c r="F5" s="6">
        <f>+E5*0.4</f>
        <v>31298481.153163638</v>
      </c>
      <c r="G5" s="6">
        <f>+F5*0.2</f>
        <v>6259696.230632728</v>
      </c>
      <c r="H5" s="6">
        <f>+G5*0.75</f>
        <v>4694772.1729745455</v>
      </c>
      <c r="I5" s="6">
        <f>+H5*0.7</f>
        <v>3286340.5210821815</v>
      </c>
      <c r="J5" s="6">
        <v>500000</v>
      </c>
      <c r="K5" s="6">
        <v>450000</v>
      </c>
      <c r="L5" s="6">
        <v>450000</v>
      </c>
      <c r="M5" s="6">
        <f>SUM(B5:L5)</f>
        <v>388378806.9680348</v>
      </c>
    </row>
    <row r="6" spans="1:13" x14ac:dyDescent="0.25">
      <c r="A6" s="41" t="s">
        <v>80</v>
      </c>
      <c r="B6" s="6">
        <v>1350000</v>
      </c>
      <c r="C6" s="6">
        <v>1500000</v>
      </c>
      <c r="D6" s="6">
        <v>2200000</v>
      </c>
      <c r="E6" s="6">
        <v>2000000</v>
      </c>
      <c r="F6" s="6">
        <v>2100000</v>
      </c>
      <c r="G6" s="6">
        <v>1500000</v>
      </c>
      <c r="H6" s="6">
        <v>1000000</v>
      </c>
      <c r="I6" s="6">
        <v>500000</v>
      </c>
      <c r="J6" s="6">
        <v>250000</v>
      </c>
      <c r="K6" s="6">
        <v>250000</v>
      </c>
      <c r="L6" s="6">
        <v>250000</v>
      </c>
      <c r="M6" s="6">
        <f>SUM(B6:L6)</f>
        <v>12900000</v>
      </c>
    </row>
    <row r="7" spans="1:13" x14ac:dyDescent="0.25">
      <c r="A7" s="41" t="s">
        <v>81</v>
      </c>
      <c r="B7" s="6">
        <v>5850000</v>
      </c>
      <c r="C7" s="6">
        <v>4700000</v>
      </c>
      <c r="D7" s="6">
        <f>C7*1.1</f>
        <v>5170000</v>
      </c>
      <c r="E7" s="6">
        <f>D7*0.2</f>
        <v>1034000</v>
      </c>
      <c r="F7" s="6">
        <f>E7*0.4</f>
        <v>413600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f>SUM(B7:L7)</f>
        <v>17167600</v>
      </c>
    </row>
    <row r="8" spans="1:13" x14ac:dyDescent="0.25">
      <c r="A8" s="41" t="s">
        <v>82</v>
      </c>
      <c r="B8" s="35">
        <v>0</v>
      </c>
      <c r="C8" s="35">
        <f>-IPMT($D$12,1,$F$12,$B$12)</f>
        <v>12000000</v>
      </c>
      <c r="D8" s="35">
        <f>-IPMT($D$12,2,$F$12,$B$12-C9)</f>
        <v>7385832.7180506727</v>
      </c>
      <c r="E8" s="35">
        <f>-IPMT($D$12,3,$F$12,$B$12-C9-D9)</f>
        <v>3597223.644069531</v>
      </c>
      <c r="F8" s="35">
        <f>-IPMT($D$12,4,$F$12,$B$12-C9-D9-E9)</f>
        <v>986993.33544764901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6">
        <f>SUM(B8:L8)</f>
        <v>23970049.697567854</v>
      </c>
    </row>
    <row r="9" spans="1:13" x14ac:dyDescent="0.25">
      <c r="A9" s="41" t="s">
        <v>208</v>
      </c>
      <c r="B9" s="35">
        <v>0</v>
      </c>
      <c r="C9" s="35">
        <f>PPMT($D$12,1,$F$12,-$B$12)</f>
        <v>25856496.444731742</v>
      </c>
      <c r="D9" s="35">
        <f>PPMT($D$12,2,$F$12,-$B$12)</f>
        <v>28442146.089204915</v>
      </c>
      <c r="E9" s="35">
        <f>PPMT($D$12,3,$F$12,-$B$12)</f>
        <v>31286360.698125407</v>
      </c>
      <c r="F9" s="35">
        <f>PPMT($D$12,4,$F$12,-$B$12)</f>
        <v>34414996.767937943</v>
      </c>
      <c r="G9" s="35"/>
      <c r="H9" s="35"/>
      <c r="I9" s="35"/>
      <c r="J9" s="35"/>
      <c r="K9" s="35"/>
      <c r="L9" s="35"/>
      <c r="M9" s="6">
        <f>SUM(B9:L9)</f>
        <v>120000000.00000001</v>
      </c>
    </row>
    <row r="10" spans="1:13" ht="15.75" thickBot="1" x14ac:dyDescent="0.3">
      <c r="A10" s="40" t="s">
        <v>83</v>
      </c>
      <c r="B10" s="36">
        <f>SUM(B5:B9)</f>
        <v>91937061.818181813</v>
      </c>
      <c r="C10" s="36">
        <f>SUM(C5:C9)</f>
        <v>135572523.20836812</v>
      </c>
      <c r="D10" s="36">
        <f t="shared" ref="D10:L10" si="0">SUM(D5:D9)</f>
        <v>130138204.23271012</v>
      </c>
      <c r="E10" s="36">
        <f t="shared" si="0"/>
        <v>116163787.22510403</v>
      </c>
      <c r="F10" s="36">
        <f t="shared" si="0"/>
        <v>69214071.256549239</v>
      </c>
      <c r="G10" s="36">
        <f t="shared" si="0"/>
        <v>7759696.230632728</v>
      </c>
      <c r="H10" s="36">
        <f t="shared" si="0"/>
        <v>5694772.1729745455</v>
      </c>
      <c r="I10" s="36">
        <f t="shared" si="0"/>
        <v>3786340.5210821815</v>
      </c>
      <c r="J10" s="36">
        <f t="shared" si="0"/>
        <v>750000</v>
      </c>
      <c r="K10" s="36">
        <f t="shared" si="0"/>
        <v>700000</v>
      </c>
      <c r="L10" s="36">
        <f t="shared" si="0"/>
        <v>700000</v>
      </c>
    </row>
    <row r="11" spans="1:13" ht="15.75" thickBot="1" x14ac:dyDescent="0.3">
      <c r="A11" s="42" t="s">
        <v>1</v>
      </c>
      <c r="B11" s="174">
        <f>B3-B10</f>
        <v>28062938.181818187</v>
      </c>
      <c r="C11" s="174">
        <f t="shared" ref="C11:L11" si="1">C3-C10</f>
        <v>-135572523.20836812</v>
      </c>
      <c r="D11" s="174">
        <f t="shared" si="1"/>
        <v>-100238204.23271012</v>
      </c>
      <c r="E11" s="174">
        <f t="shared" si="1"/>
        <v>-67663787.225104034</v>
      </c>
      <c r="F11" s="174">
        <f t="shared" si="1"/>
        <v>8385928.7434507608</v>
      </c>
      <c r="G11" s="174">
        <f t="shared" si="1"/>
        <v>71240303.769367278</v>
      </c>
      <c r="H11" s="174">
        <f t="shared" si="1"/>
        <v>120705227.82702546</v>
      </c>
      <c r="I11" s="174">
        <f t="shared" si="1"/>
        <v>154213659.47891781</v>
      </c>
      <c r="J11" s="174">
        <f t="shared" si="1"/>
        <v>204650000</v>
      </c>
      <c r="K11" s="174">
        <f t="shared" si="1"/>
        <v>122540000</v>
      </c>
      <c r="L11" s="174">
        <f t="shared" si="1"/>
        <v>48596000</v>
      </c>
    </row>
    <row r="12" spans="1:13" ht="15.75" thickBot="1" x14ac:dyDescent="0.3">
      <c r="A12" s="44" t="s">
        <v>205</v>
      </c>
      <c r="B12" s="176">
        <v>120000000</v>
      </c>
      <c r="C12" s="177" t="s">
        <v>206</v>
      </c>
      <c r="D12" s="178">
        <v>0.1</v>
      </c>
      <c r="E12" s="177" t="s">
        <v>207</v>
      </c>
      <c r="F12" s="175">
        <v>4</v>
      </c>
      <c r="G12" s="175"/>
      <c r="H12" s="175"/>
      <c r="I12" s="175"/>
      <c r="J12" s="175"/>
      <c r="K12" s="175"/>
      <c r="L12" s="175"/>
    </row>
    <row r="13" spans="1:13" ht="31.5" customHeight="1" x14ac:dyDescent="0.25">
      <c r="A13" s="145" t="s">
        <v>85</v>
      </c>
      <c r="B13" s="7"/>
      <c r="C13" s="6">
        <f>SLN(B14,0,10)</f>
        <v>0</v>
      </c>
      <c r="D13" s="6">
        <f t="shared" ref="D13:L13" si="2">SLN($B$14,0,10)+C13</f>
        <v>0</v>
      </c>
      <c r="E13" s="6">
        <f t="shared" si="2"/>
        <v>0</v>
      </c>
      <c r="F13" s="6">
        <f t="shared" si="2"/>
        <v>0</v>
      </c>
      <c r="G13" s="6">
        <f t="shared" si="2"/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</row>
    <row r="14" spans="1:13" x14ac:dyDescent="0.25">
      <c r="A14" t="s">
        <v>84</v>
      </c>
      <c r="B14" s="37">
        <f>Equipos!$C$16</f>
        <v>0</v>
      </c>
      <c r="C14" s="7"/>
      <c r="D14" s="7"/>
      <c r="E14" s="7"/>
      <c r="F14" s="7"/>
    </row>
    <row r="15" spans="1:13" ht="15.75" thickBot="1" x14ac:dyDescent="0.3">
      <c r="A15" t="s">
        <v>86</v>
      </c>
      <c r="B15" s="2">
        <v>0.09</v>
      </c>
      <c r="C15" s="2">
        <v>0.12</v>
      </c>
      <c r="D15" s="2">
        <v>0.16</v>
      </c>
      <c r="E15" s="7"/>
      <c r="F15" s="7"/>
      <c r="I15" s="8"/>
    </row>
    <row r="16" spans="1:13" x14ac:dyDescent="0.25">
      <c r="A16" s="50" t="s">
        <v>87</v>
      </c>
      <c r="B16" s="168">
        <f>NPV(B15,$C$11:$L$11)+$B$11</f>
        <v>155297205.59793389</v>
      </c>
      <c r="C16" s="168">
        <f>NPV(C15,$C$11:$L$11)+$B$11</f>
        <v>98100002.636996061</v>
      </c>
      <c r="D16" s="169">
        <f>NPV(D15,$C$11:$L$11)+$B$11</f>
        <v>41666850.590684101</v>
      </c>
      <c r="E16" s="7"/>
      <c r="F16" s="7"/>
      <c r="I16" s="8"/>
    </row>
    <row r="17" spans="1:12" ht="16.5" thickBot="1" x14ac:dyDescent="0.3">
      <c r="A17" s="66" t="s">
        <v>2</v>
      </c>
      <c r="B17" s="67"/>
      <c r="C17" s="167">
        <f>IRR($B$11:$L$11)</f>
        <v>0.20198105333586125</v>
      </c>
      <c r="D17" s="68"/>
      <c r="E17" s="7"/>
      <c r="F17" s="7"/>
    </row>
    <row r="18" spans="1:12" x14ac:dyDescent="0.25"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11" t="s">
        <v>93</v>
      </c>
      <c r="B19" s="12" t="s">
        <v>44</v>
      </c>
      <c r="C19" s="12" t="s">
        <v>43</v>
      </c>
      <c r="D19" s="12" t="s">
        <v>45</v>
      </c>
      <c r="E19" s="12" t="s">
        <v>46</v>
      </c>
      <c r="F19" s="12" t="s">
        <v>47</v>
      </c>
      <c r="G19" s="12" t="s">
        <v>48</v>
      </c>
      <c r="H19" s="12" t="s">
        <v>49</v>
      </c>
      <c r="I19" s="12" t="s">
        <v>50</v>
      </c>
      <c r="J19" s="12" t="s">
        <v>51</v>
      </c>
      <c r="K19" s="12" t="s">
        <v>52</v>
      </c>
      <c r="L19" s="12" t="s">
        <v>53</v>
      </c>
    </row>
    <row r="20" spans="1:12" ht="15.75" thickBot="1" x14ac:dyDescent="0.3">
      <c r="A20" s="39" t="s">
        <v>77</v>
      </c>
      <c r="B20" s="65">
        <f>B12</f>
        <v>120000000</v>
      </c>
      <c r="C20" s="65">
        <v>125000</v>
      </c>
      <c r="D20" s="65">
        <v>25400000</v>
      </c>
      <c r="E20" s="65">
        <v>45400000</v>
      </c>
      <c r="F20" s="65">
        <v>81000000</v>
      </c>
      <c r="G20" s="65"/>
      <c r="H20" s="65"/>
      <c r="I20" s="65"/>
      <c r="J20" s="65"/>
      <c r="K20" s="65"/>
      <c r="L20" s="65"/>
    </row>
    <row r="21" spans="1:12" x14ac:dyDescent="0.25">
      <c r="A21" s="40" t="s">
        <v>78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5">
      <c r="A22" s="41" t="s">
        <v>79</v>
      </c>
      <c r="B22" s="6">
        <v>2500000</v>
      </c>
      <c r="C22" s="6">
        <v>3000000</v>
      </c>
      <c r="D22" s="6">
        <v>4000000</v>
      </c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41" t="s">
        <v>80</v>
      </c>
      <c r="B23" s="6">
        <v>135000</v>
      </c>
      <c r="C23" s="6">
        <v>200000</v>
      </c>
      <c r="D23" s="6">
        <v>250000</v>
      </c>
      <c r="E23" s="6">
        <v>300000</v>
      </c>
      <c r="F23" s="6">
        <v>210000</v>
      </c>
      <c r="G23" s="6">
        <v>100000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x14ac:dyDescent="0.25">
      <c r="A24" s="41" t="s">
        <v>81</v>
      </c>
      <c r="B24" s="6">
        <v>850000</v>
      </c>
      <c r="C24" s="6">
        <v>1000000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x14ac:dyDescent="0.25">
      <c r="A25" s="41" t="s">
        <v>82</v>
      </c>
      <c r="B25" s="35">
        <v>0</v>
      </c>
      <c r="C25" s="35">
        <f>-IPMT(Financistas!$C$3,1,Financistas!$D$3,$B$3)</f>
        <v>14400000</v>
      </c>
      <c r="D25" s="35">
        <f>-IPMT(Financistas!$C$3,3,Financistas!$D$3,$B$3)</f>
        <v>12660387.436528277</v>
      </c>
      <c r="E25" s="35">
        <f>-IPMT(Financistas!$C$3,2,Financistas!$D$3,$B$3)</f>
        <v>13579428.036098244</v>
      </c>
      <c r="F25" s="35">
        <f>-IPMT(Financistas!$C$3,3,Financistas!$D$3,$B$3)</f>
        <v>12660387.436528277</v>
      </c>
      <c r="G25" s="35">
        <f>-IPMT(Financistas!$C$3,5,Financistas!$D$3,$B$3)</f>
        <v>10478217.436909351</v>
      </c>
      <c r="H25" s="35">
        <f>-IPMT(Financistas!$C$3,6,Financistas!$D$3,$B$3)</f>
        <v>9187031.565436719</v>
      </c>
      <c r="I25" s="35">
        <f>-IPMT(Financistas!$C$3,7,Financistas!$D$3,$B$3)</f>
        <v>7740903.3893873701</v>
      </c>
      <c r="J25" s="35">
        <f>-IPMT(Financistas!$C$3,8,Financistas!$D$3,$B$3)</f>
        <v>6121239.8322121007</v>
      </c>
      <c r="K25" s="35">
        <f>-IPMT(Financistas!$C$3,9,Financistas!$D$3,$B$3)</f>
        <v>4307216.6481757965</v>
      </c>
      <c r="L25" s="35">
        <f>-IPMT(Financistas!$C$3,10,Financistas!$D$3,$B$3)</f>
        <v>2275510.6820551385</v>
      </c>
    </row>
    <row r="26" spans="1:12" ht="15.75" thickBot="1" x14ac:dyDescent="0.3">
      <c r="A26" s="40" t="s">
        <v>83</v>
      </c>
      <c r="B26" s="65">
        <f>SUM(B22:B25)</f>
        <v>3485000</v>
      </c>
      <c r="C26" s="65">
        <f t="shared" ref="C26:L26" si="3">SUM(C22:C25)</f>
        <v>18600000</v>
      </c>
      <c r="D26" s="65">
        <f t="shared" si="3"/>
        <v>16910387.436528277</v>
      </c>
      <c r="E26" s="65">
        <f t="shared" si="3"/>
        <v>13879428.036098244</v>
      </c>
      <c r="F26" s="65">
        <f t="shared" si="3"/>
        <v>12870387.436528277</v>
      </c>
      <c r="G26" s="65">
        <f t="shared" si="3"/>
        <v>10578217.436909351</v>
      </c>
      <c r="H26" s="65">
        <f t="shared" si="3"/>
        <v>9187031.565436719</v>
      </c>
      <c r="I26" s="65">
        <f t="shared" si="3"/>
        <v>7740903.3893873701</v>
      </c>
      <c r="J26" s="65">
        <f t="shared" si="3"/>
        <v>6121239.8322121007</v>
      </c>
      <c r="K26" s="65">
        <f t="shared" si="3"/>
        <v>4307216.6481757965</v>
      </c>
      <c r="L26" s="65">
        <f t="shared" si="3"/>
        <v>2275510.6820551385</v>
      </c>
    </row>
    <row r="27" spans="1:12" ht="15.75" thickBot="1" x14ac:dyDescent="0.3">
      <c r="A27" s="42" t="s">
        <v>1</v>
      </c>
      <c r="B27" s="65">
        <f>B20-B26</f>
        <v>116515000</v>
      </c>
      <c r="C27" s="65">
        <f t="shared" ref="C27:D27" si="4">C20-C26</f>
        <v>-18475000</v>
      </c>
      <c r="D27" s="65">
        <f t="shared" si="4"/>
        <v>8489612.5634717233</v>
      </c>
      <c r="E27" s="65"/>
      <c r="F27" s="65"/>
      <c r="G27" s="65"/>
      <c r="H27" s="65"/>
      <c r="I27" s="65"/>
      <c r="J27" s="65"/>
      <c r="K27" s="65"/>
      <c r="L27" s="65"/>
    </row>
  </sheetData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K4" sqref="K4:K5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3.28515625" customWidth="1"/>
    <col min="13" max="13" width="15.5703125" customWidth="1"/>
    <col min="14" max="15" width="13.7109375" customWidth="1"/>
  </cols>
  <sheetData>
    <row r="1" spans="1:18" ht="15.75" thickBot="1" x14ac:dyDescent="0.3">
      <c r="L1" s="157" t="s">
        <v>186</v>
      </c>
    </row>
    <row r="2" spans="1:18" ht="15.75" thickBot="1" x14ac:dyDescent="0.3">
      <c r="A2" s="50"/>
      <c r="B2" s="51"/>
      <c r="C2" s="51"/>
      <c r="D2" s="103"/>
      <c r="E2" s="104"/>
      <c r="F2" s="103"/>
      <c r="G2" s="105"/>
      <c r="H2" s="99" t="s">
        <v>125</v>
      </c>
      <c r="I2" s="98">
        <f ca="1">TODAY()</f>
        <v>41584</v>
      </c>
      <c r="J2" s="28"/>
      <c r="L2" s="157">
        <v>0.1</v>
      </c>
    </row>
    <row r="3" spans="1:18" ht="45.75" thickBot="1" x14ac:dyDescent="0.3">
      <c r="A3" s="52" t="s">
        <v>62</v>
      </c>
      <c r="B3" s="97" t="s">
        <v>58</v>
      </c>
      <c r="C3" s="101" t="s">
        <v>54</v>
      </c>
      <c r="D3" s="53" t="s">
        <v>59</v>
      </c>
      <c r="E3" s="102" t="s">
        <v>55</v>
      </c>
      <c r="F3" s="53" t="s">
        <v>56</v>
      </c>
      <c r="G3" s="53" t="s">
        <v>57</v>
      </c>
      <c r="H3" s="53" t="s">
        <v>127</v>
      </c>
      <c r="I3" s="54" t="s">
        <v>60</v>
      </c>
      <c r="J3" s="54" t="s">
        <v>95</v>
      </c>
      <c r="K3" s="120" t="s">
        <v>143</v>
      </c>
      <c r="L3" s="120" t="s">
        <v>185</v>
      </c>
      <c r="M3" s="53" t="s">
        <v>187</v>
      </c>
    </row>
    <row r="4" spans="1:18" ht="15.75" thickBot="1" x14ac:dyDescent="0.3">
      <c r="A4" s="45" t="s">
        <v>73</v>
      </c>
      <c r="B4" s="90" t="s">
        <v>128</v>
      </c>
      <c r="C4" s="100" t="s">
        <v>126</v>
      </c>
      <c r="D4" s="46">
        <v>41406</v>
      </c>
      <c r="E4" s="46">
        <v>43799</v>
      </c>
      <c r="F4" s="47"/>
      <c r="G4" s="48">
        <v>500</v>
      </c>
      <c r="H4" s="49">
        <v>420000000</v>
      </c>
      <c r="I4" s="45" t="s">
        <v>74</v>
      </c>
      <c r="J4" s="64">
        <v>300000000</v>
      </c>
      <c r="K4" s="64" t="s">
        <v>144</v>
      </c>
      <c r="L4" s="64">
        <v>5000000</v>
      </c>
      <c r="M4" s="170">
        <f>H4+L4+(H4+L4)*$L$2</f>
        <v>467500000</v>
      </c>
    </row>
    <row r="5" spans="1:18" ht="19.5" customHeight="1" thickBot="1" x14ac:dyDescent="0.3">
      <c r="A5" s="30" t="s">
        <v>75</v>
      </c>
      <c r="B5" s="90" t="s">
        <v>129</v>
      </c>
      <c r="C5" s="30" t="s">
        <v>89</v>
      </c>
      <c r="D5" s="33">
        <v>41195</v>
      </c>
      <c r="E5" s="33">
        <v>41721</v>
      </c>
      <c r="F5" s="29"/>
      <c r="G5" s="31">
        <v>500</v>
      </c>
      <c r="H5" s="32">
        <v>54000000</v>
      </c>
      <c r="I5" s="30"/>
      <c r="J5" s="64">
        <v>54000000</v>
      </c>
      <c r="K5" s="64" t="s">
        <v>145</v>
      </c>
      <c r="L5" s="64">
        <v>15000000</v>
      </c>
      <c r="M5" s="170">
        <f t="shared" ref="M5:M11" si="0">H5+L5+(H5+L5)*$L$2</f>
        <v>75900000</v>
      </c>
    </row>
    <row r="6" spans="1:18" ht="15.75" thickBot="1" x14ac:dyDescent="0.3">
      <c r="A6" s="30" t="s">
        <v>76</v>
      </c>
      <c r="B6" s="90" t="s">
        <v>130</v>
      </c>
      <c r="C6" s="30" t="s">
        <v>90</v>
      </c>
      <c r="D6" s="33">
        <v>41319</v>
      </c>
      <c r="E6" s="33">
        <v>42318</v>
      </c>
      <c r="F6" s="29"/>
      <c r="G6" s="31">
        <v>500</v>
      </c>
      <c r="H6" s="32">
        <v>89000000</v>
      </c>
      <c r="I6" s="30"/>
      <c r="J6" s="64">
        <v>92000000</v>
      </c>
      <c r="K6" s="64" t="s">
        <v>145</v>
      </c>
      <c r="L6" s="64"/>
      <c r="M6" s="170">
        <f t="shared" si="0"/>
        <v>97900000</v>
      </c>
    </row>
    <row r="7" spans="1:18" ht="15.75" thickBot="1" x14ac:dyDescent="0.3">
      <c r="A7" s="30" t="s">
        <v>123</v>
      </c>
      <c r="B7" s="90" t="s">
        <v>131</v>
      </c>
      <c r="C7" s="30" t="s">
        <v>124</v>
      </c>
      <c r="D7" s="46">
        <v>41529</v>
      </c>
      <c r="E7" s="46">
        <v>42704</v>
      </c>
      <c r="F7" s="29"/>
      <c r="G7" s="31">
        <v>800</v>
      </c>
      <c r="H7" s="32">
        <v>45000000</v>
      </c>
      <c r="I7" s="30"/>
      <c r="J7" s="64">
        <v>30000000</v>
      </c>
      <c r="K7" s="64" t="s">
        <v>144</v>
      </c>
      <c r="L7" s="64"/>
      <c r="M7" s="170">
        <f t="shared" si="0"/>
        <v>49500000</v>
      </c>
    </row>
    <row r="8" spans="1:18" ht="15.75" thickBot="1" x14ac:dyDescent="0.3">
      <c r="A8" s="30"/>
      <c r="B8" s="30"/>
      <c r="C8" s="30"/>
      <c r="D8" s="29"/>
      <c r="E8" s="29"/>
      <c r="F8" s="29"/>
      <c r="G8" s="31"/>
      <c r="H8" s="32"/>
      <c r="I8" s="30"/>
      <c r="J8" s="64"/>
      <c r="K8" s="64"/>
      <c r="L8" s="64"/>
      <c r="M8" s="170">
        <f t="shared" si="0"/>
        <v>0</v>
      </c>
    </row>
    <row r="9" spans="1:18" ht="15.75" thickBot="1" x14ac:dyDescent="0.3">
      <c r="A9" s="30"/>
      <c r="B9" s="30"/>
      <c r="C9" s="30"/>
      <c r="D9" s="29"/>
      <c r="E9" s="29"/>
      <c r="F9" s="29"/>
      <c r="G9" s="31"/>
      <c r="H9" s="32"/>
      <c r="I9" s="30"/>
      <c r="J9" s="64"/>
      <c r="K9" s="13"/>
      <c r="L9" s="64"/>
      <c r="M9" s="170">
        <f t="shared" si="0"/>
        <v>0</v>
      </c>
    </row>
    <row r="10" spans="1:18" ht="15.75" thickBot="1" x14ac:dyDescent="0.3">
      <c r="A10" s="108"/>
      <c r="B10" s="108"/>
      <c r="C10" s="108"/>
      <c r="D10" s="109"/>
      <c r="E10" s="109"/>
      <c r="F10" s="109"/>
      <c r="G10" s="110"/>
      <c r="H10" s="111"/>
      <c r="I10" s="108"/>
      <c r="J10" s="112"/>
      <c r="K10" s="121"/>
      <c r="L10" s="64"/>
      <c r="M10" s="170">
        <f t="shared" si="0"/>
        <v>0</v>
      </c>
    </row>
    <row r="11" spans="1:18" ht="15.75" thickBot="1" x14ac:dyDescent="0.3">
      <c r="A11" s="122"/>
      <c r="B11" s="122"/>
      <c r="C11" s="122"/>
      <c r="D11" s="123"/>
      <c r="E11" s="123"/>
      <c r="F11" s="123"/>
      <c r="G11" s="124"/>
      <c r="H11" s="125"/>
      <c r="I11" s="122"/>
      <c r="J11" s="126"/>
      <c r="K11" s="127"/>
      <c r="L11" s="171"/>
      <c r="M11" s="172">
        <f t="shared" si="0"/>
        <v>0</v>
      </c>
    </row>
    <row r="14" spans="1:18" x14ac:dyDescent="0.25">
      <c r="A14" s="113"/>
      <c r="B14" s="113"/>
      <c r="C14" s="113"/>
      <c r="D14" s="114"/>
      <c r="E14" s="114"/>
      <c r="F14" s="114"/>
      <c r="G14" s="115"/>
      <c r="H14" s="116"/>
      <c r="I14" s="113"/>
      <c r="J14" s="117"/>
      <c r="K14" s="118"/>
      <c r="P14" s="7"/>
      <c r="Q14" s="7"/>
      <c r="R14" s="7"/>
    </row>
    <row r="15" spans="1:18" x14ac:dyDescent="0.25">
      <c r="A15" s="113"/>
      <c r="B15" s="113"/>
      <c r="C15" s="113"/>
      <c r="D15" s="114"/>
      <c r="E15" s="114"/>
      <c r="F15" s="114"/>
      <c r="G15" s="115"/>
      <c r="H15" s="116"/>
      <c r="I15" s="113"/>
      <c r="J15" s="117"/>
      <c r="K15" s="119"/>
    </row>
    <row r="16" spans="1:18" x14ac:dyDescent="0.25">
      <c r="A16" s="113"/>
      <c r="B16" s="113"/>
      <c r="C16" s="113"/>
      <c r="D16" s="114"/>
      <c r="E16" s="114"/>
      <c r="F16" s="114"/>
      <c r="G16" s="115"/>
      <c r="H16" s="116"/>
      <c r="I16" s="113"/>
      <c r="J16" s="117"/>
      <c r="K16" s="119"/>
    </row>
    <row r="17" spans="1:11" x14ac:dyDescent="0.25">
      <c r="A17" s="113"/>
      <c r="B17" s="113"/>
      <c r="C17" s="113"/>
      <c r="D17" s="114"/>
      <c r="E17" s="114"/>
      <c r="F17" s="114"/>
      <c r="G17" s="115"/>
      <c r="H17" s="116"/>
      <c r="I17" s="113"/>
      <c r="J17" s="117"/>
      <c r="K17" s="119"/>
    </row>
    <row r="18" spans="1:11" x14ac:dyDescent="0.25">
      <c r="A18" s="113"/>
      <c r="B18" s="113"/>
      <c r="C18" s="113"/>
      <c r="D18" s="114"/>
      <c r="E18" s="114"/>
      <c r="F18" s="114"/>
      <c r="G18" s="115"/>
      <c r="H18" s="116"/>
      <c r="I18" s="113"/>
      <c r="J18" s="117"/>
      <c r="K18" s="119"/>
    </row>
    <row r="19" spans="1:11" x14ac:dyDescent="0.25">
      <c r="A19" s="113"/>
      <c r="B19" s="113"/>
      <c r="C19" s="113"/>
      <c r="D19" s="114"/>
      <c r="E19" s="114"/>
      <c r="F19" s="114"/>
      <c r="G19" s="115"/>
      <c r="H19" s="116"/>
      <c r="I19" s="113"/>
      <c r="J19" s="117"/>
      <c r="K19" s="119"/>
    </row>
    <row r="22" spans="1:11" x14ac:dyDescent="0.25">
      <c r="C22" s="7"/>
      <c r="D22" s="7"/>
      <c r="E22" s="7"/>
      <c r="F22" s="7"/>
      <c r="G22" s="7"/>
    </row>
    <row r="23" spans="1:11" x14ac:dyDescent="0.25">
      <c r="D23" s="7"/>
      <c r="E23" s="7"/>
      <c r="F23" s="7"/>
      <c r="G23" s="7"/>
    </row>
    <row r="24" spans="1:11" x14ac:dyDescent="0.25">
      <c r="C24" s="7"/>
      <c r="G24" s="7"/>
      <c r="H24" s="7"/>
      <c r="I24" s="7"/>
    </row>
    <row r="25" spans="1:11" x14ac:dyDescent="0.25">
      <c r="C25" s="7"/>
      <c r="D25" s="7"/>
      <c r="E25" s="7"/>
      <c r="F25" s="7"/>
      <c r="G25" s="7"/>
    </row>
    <row r="26" spans="1:11" x14ac:dyDescent="0.25">
      <c r="C26" s="7"/>
      <c r="D26" s="7"/>
      <c r="E26" s="7"/>
      <c r="F26" s="7"/>
      <c r="G26" s="7"/>
    </row>
    <row r="27" spans="1:11" x14ac:dyDescent="0.25">
      <c r="C27" s="2"/>
      <c r="D27" s="7"/>
      <c r="E27" s="7"/>
      <c r="F27" s="7"/>
      <c r="G27" s="7"/>
    </row>
    <row r="28" spans="1:11" x14ac:dyDescent="0.25">
      <c r="C28" s="7"/>
      <c r="D28" s="7"/>
      <c r="E28" s="7"/>
      <c r="F28" s="7"/>
      <c r="G28" s="7"/>
    </row>
    <row r="29" spans="1:11" x14ac:dyDescent="0.25">
      <c r="C29" s="7"/>
      <c r="D29" s="7"/>
      <c r="E29" s="7"/>
      <c r="F29" s="7"/>
      <c r="G29" s="7"/>
    </row>
    <row r="33" spans="3:4" x14ac:dyDescent="0.25">
      <c r="C33" s="7"/>
      <c r="D33" s="7"/>
    </row>
    <row r="34" spans="3:4" x14ac:dyDescent="0.25">
      <c r="C34" s="7"/>
      <c r="D34" s="7"/>
    </row>
    <row r="35" spans="3:4" x14ac:dyDescent="0.25">
      <c r="C35" s="7"/>
      <c r="D35" s="7"/>
    </row>
    <row r="36" spans="3:4" x14ac:dyDescent="0.25">
      <c r="C36" s="7"/>
      <c r="D36" s="7"/>
    </row>
    <row r="37" spans="3:4" x14ac:dyDescent="0.25">
      <c r="C37" s="7"/>
      <c r="D37" s="7"/>
    </row>
  </sheetData>
  <dataValidations count="11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4:L11">
      <formula1>1000000</formula1>
      <formula2>H4*0.5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repita su seleccion" prompt="Seleccione uno de los planes mostrados">
          <x14:formula1>
            <xm:f>Tablas!$A$2:$A$5</xm:f>
          </x14:formula1>
          <xm:sqref>F4:F6</xm:sqref>
        </x14:dataValidation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8" sqref="D8"/>
    </sheetView>
  </sheetViews>
  <sheetFormatPr baseColWidth="10" defaultRowHeight="15" x14ac:dyDescent="0.2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 x14ac:dyDescent="0.25">
      <c r="A1" t="s">
        <v>146</v>
      </c>
      <c r="B1" s="70" t="s">
        <v>98</v>
      </c>
      <c r="C1" s="71" t="s">
        <v>102</v>
      </c>
    </row>
    <row r="2" spans="1:7" ht="15.75" thickBot="1" x14ac:dyDescent="0.3">
      <c r="A2" s="69"/>
      <c r="C2" s="224">
        <v>1900</v>
      </c>
      <c r="D2" s="69"/>
      <c r="E2" s="69"/>
      <c r="F2" s="69"/>
      <c r="G2" s="69"/>
    </row>
    <row r="3" spans="1:7" ht="15.75" thickBot="1" x14ac:dyDescent="0.3">
      <c r="A3" s="72" t="s">
        <v>97</v>
      </c>
      <c r="B3" s="73"/>
      <c r="D3" s="235" t="s">
        <v>215</v>
      </c>
      <c r="E3" s="234"/>
      <c r="F3" s="69"/>
      <c r="G3" s="69"/>
    </row>
    <row r="4" spans="1:7" ht="26.25" thickBot="1" x14ac:dyDescent="0.3">
      <c r="A4" s="74" t="s">
        <v>101</v>
      </c>
      <c r="B4" s="75" t="s">
        <v>99</v>
      </c>
      <c r="C4" s="225" t="s">
        <v>100</v>
      </c>
      <c r="D4" s="235" t="s">
        <v>106</v>
      </c>
      <c r="E4" s="234"/>
      <c r="F4" s="69"/>
      <c r="G4" s="69"/>
    </row>
    <row r="5" spans="1:7" ht="26.25" thickBot="1" x14ac:dyDescent="0.3">
      <c r="A5" s="77" t="s">
        <v>108</v>
      </c>
      <c r="B5" s="76"/>
      <c r="C5" s="81">
        <f>B5*$B$5</f>
        <v>0</v>
      </c>
      <c r="D5" s="235" t="s">
        <v>8</v>
      </c>
      <c r="E5" s="234"/>
      <c r="F5" s="69"/>
      <c r="G5" s="69"/>
    </row>
    <row r="6" spans="1:7" ht="23.25" customHeight="1" thickBot="1" x14ac:dyDescent="0.3">
      <c r="A6" s="77" t="s">
        <v>109</v>
      </c>
      <c r="B6" s="76"/>
      <c r="C6" s="81">
        <f t="shared" ref="C6:C9" si="0">B6*$B$5</f>
        <v>0</v>
      </c>
      <c r="D6" s="235" t="s">
        <v>107</v>
      </c>
      <c r="E6" s="234"/>
      <c r="F6" s="69"/>
      <c r="G6" s="69"/>
    </row>
    <row r="7" spans="1:7" ht="39" thickBot="1" x14ac:dyDescent="0.3">
      <c r="A7" s="77" t="s">
        <v>110</v>
      </c>
      <c r="B7" s="76"/>
      <c r="C7" s="81">
        <f t="shared" si="0"/>
        <v>0</v>
      </c>
      <c r="D7" s="235" t="s">
        <v>217</v>
      </c>
      <c r="E7" s="228"/>
      <c r="F7" s="69"/>
      <c r="G7" s="69"/>
    </row>
    <row r="8" spans="1:7" ht="26.25" thickBot="1" x14ac:dyDescent="0.3">
      <c r="A8" s="77" t="s">
        <v>111</v>
      </c>
      <c r="B8" s="76"/>
      <c r="C8" s="81">
        <f t="shared" si="0"/>
        <v>0</v>
      </c>
      <c r="D8" s="236" t="s">
        <v>104</v>
      </c>
      <c r="E8" s="234"/>
      <c r="F8" s="69"/>
      <c r="G8" s="69"/>
    </row>
    <row r="9" spans="1:7" ht="26.25" thickBot="1" x14ac:dyDescent="0.3">
      <c r="A9" s="77" t="s">
        <v>112</v>
      </c>
      <c r="B9" s="79"/>
      <c r="C9" s="226">
        <f t="shared" si="0"/>
        <v>0</v>
      </c>
      <c r="D9" s="227" t="s">
        <v>105</v>
      </c>
      <c r="E9" s="231"/>
      <c r="F9" s="69"/>
      <c r="G9" s="69"/>
    </row>
    <row r="10" spans="1:7" ht="15.75" thickBot="1" x14ac:dyDescent="0.3">
      <c r="A10" s="77" t="s">
        <v>113</v>
      </c>
      <c r="B10" s="79"/>
      <c r="C10" s="226"/>
      <c r="D10" s="227" t="s">
        <v>7</v>
      </c>
      <c r="E10" s="232"/>
      <c r="F10" s="69"/>
      <c r="G10" s="69"/>
    </row>
    <row r="11" spans="1:7" ht="26.25" thickBot="1" x14ac:dyDescent="0.3">
      <c r="A11" s="77" t="s">
        <v>114</v>
      </c>
      <c r="B11" s="76"/>
      <c r="C11" s="81">
        <f>C5*0.1</f>
        <v>0</v>
      </c>
      <c r="D11" s="230" t="s">
        <v>216</v>
      </c>
      <c r="E11" s="229"/>
      <c r="F11" s="69"/>
      <c r="G11" s="69"/>
    </row>
    <row r="12" spans="1:7" ht="26.25" thickBot="1" x14ac:dyDescent="0.3">
      <c r="A12" s="77" t="s">
        <v>115</v>
      </c>
      <c r="B12" s="76"/>
      <c r="C12" s="78"/>
      <c r="D12" s="82"/>
      <c r="E12" s="69"/>
      <c r="F12" s="69"/>
      <c r="G12" s="69"/>
    </row>
    <row r="13" spans="1:7" ht="15.75" thickBot="1" x14ac:dyDescent="0.3">
      <c r="A13" s="77" t="s">
        <v>116</v>
      </c>
      <c r="B13" s="76"/>
      <c r="C13" s="78">
        <f>C5*0.16</f>
        <v>0</v>
      </c>
      <c r="D13" s="82"/>
      <c r="E13" s="69"/>
      <c r="F13" s="69"/>
      <c r="G13" s="69"/>
    </row>
    <row r="14" spans="1:7" ht="64.5" thickBot="1" x14ac:dyDescent="0.3">
      <c r="A14" s="77" t="s">
        <v>117</v>
      </c>
      <c r="B14" s="76"/>
      <c r="C14" s="78"/>
      <c r="D14" s="82"/>
      <c r="E14" s="69"/>
      <c r="F14" s="69"/>
      <c r="G14" s="69"/>
    </row>
    <row r="15" spans="1:7" ht="15.75" thickBot="1" x14ac:dyDescent="0.3">
      <c r="A15" s="77" t="s">
        <v>118</v>
      </c>
      <c r="B15" s="79"/>
      <c r="C15" s="80">
        <v>0</v>
      </c>
      <c r="D15" s="82"/>
      <c r="E15" s="69"/>
      <c r="F15" s="69"/>
      <c r="G15" s="69"/>
    </row>
    <row r="16" spans="1:7" ht="15.75" thickBot="1" x14ac:dyDescent="0.3">
      <c r="A16" s="83" t="s">
        <v>103</v>
      </c>
      <c r="B16" s="79"/>
      <c r="C16" s="84">
        <f>SUM(C5:C15)</f>
        <v>0</v>
      </c>
      <c r="D16" s="82"/>
      <c r="E16" s="69"/>
      <c r="F16" s="69"/>
      <c r="G16" s="69"/>
    </row>
    <row r="17" spans="1:7" x14ac:dyDescent="0.25">
      <c r="A17" s="69"/>
      <c r="B17" s="69"/>
      <c r="C17" s="69"/>
      <c r="D17" s="69"/>
      <c r="E17" s="69"/>
      <c r="F17" s="69"/>
      <c r="G17" s="69"/>
    </row>
    <row r="18" spans="1:7" ht="48" customHeight="1" x14ac:dyDescent="0.25">
      <c r="A18" s="71" t="s">
        <v>4</v>
      </c>
      <c r="B18" s="87"/>
      <c r="C18" s="87" t="s">
        <v>91</v>
      </c>
      <c r="D18" s="87" t="s">
        <v>5</v>
      </c>
      <c r="E18" s="87" t="s">
        <v>6</v>
      </c>
      <c r="F18" s="88" t="s">
        <v>3</v>
      </c>
      <c r="G18" s="89" t="s">
        <v>119</v>
      </c>
    </row>
    <row r="19" spans="1:7" x14ac:dyDescent="0.25">
      <c r="A19" s="233" t="s">
        <v>120</v>
      </c>
      <c r="B19" s="9"/>
      <c r="C19" s="85"/>
      <c r="D19" s="85"/>
      <c r="E19" s="85"/>
      <c r="F19" s="85"/>
      <c r="G19" s="85"/>
    </row>
    <row r="20" spans="1:7" x14ac:dyDescent="0.25">
      <c r="A20" s="233" t="s">
        <v>121</v>
      </c>
      <c r="B20" s="9"/>
      <c r="C20" s="85"/>
      <c r="D20" s="85"/>
      <c r="E20" s="85"/>
      <c r="F20" s="85"/>
      <c r="G20" s="85"/>
    </row>
    <row r="21" spans="1:7" x14ac:dyDescent="0.25">
      <c r="A21" s="233" t="s">
        <v>122</v>
      </c>
      <c r="B21" s="9"/>
      <c r="C21" s="85"/>
      <c r="D21" s="85"/>
      <c r="E21" s="85"/>
      <c r="F21" s="85"/>
      <c r="G21" s="85"/>
    </row>
    <row r="23" spans="1:7" x14ac:dyDescent="0.25">
      <c r="B23" s="119"/>
    </row>
    <row r="24" spans="1:7" x14ac:dyDescent="0.25">
      <c r="B24" s="119"/>
    </row>
    <row r="25" spans="1:7" x14ac:dyDescent="0.25">
      <c r="B25" s="119"/>
    </row>
    <row r="26" spans="1:7" x14ac:dyDescent="0.25">
      <c r="B26" s="119"/>
    </row>
  </sheetData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7" sqref="D17"/>
    </sheetView>
  </sheetViews>
  <sheetFormatPr baseColWidth="10" defaultRowHeight="15" x14ac:dyDescent="0.2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 x14ac:dyDescent="0.3">
      <c r="B1" s="38" t="s">
        <v>146</v>
      </c>
      <c r="C1" s="55" t="s">
        <v>94</v>
      </c>
      <c r="F1" s="150">
        <v>7.0000000000000007E-2</v>
      </c>
      <c r="G1" s="150">
        <v>0.04</v>
      </c>
      <c r="H1" s="155">
        <v>0</v>
      </c>
    </row>
    <row r="2" spans="1:8" ht="30" customHeight="1" thickBot="1" x14ac:dyDescent="0.3">
      <c r="A2" s="11" t="s">
        <v>9</v>
      </c>
      <c r="B2" s="12" t="s">
        <v>0</v>
      </c>
      <c r="C2" s="139" t="s">
        <v>10</v>
      </c>
      <c r="D2" s="140" t="s">
        <v>218</v>
      </c>
      <c r="E2" s="147" t="s">
        <v>11</v>
      </c>
      <c r="F2" s="140" t="s">
        <v>174</v>
      </c>
      <c r="G2" s="149" t="s">
        <v>175</v>
      </c>
      <c r="H2" s="9">
        <v>1.44</v>
      </c>
    </row>
    <row r="3" spans="1:8" x14ac:dyDescent="0.25">
      <c r="A3" s="13" t="s">
        <v>12</v>
      </c>
      <c r="B3" s="9" t="s">
        <v>135</v>
      </c>
      <c r="C3" s="15">
        <v>2</v>
      </c>
      <c r="D3" s="141">
        <v>1230000</v>
      </c>
      <c r="E3" s="148">
        <f t="shared" ref="E3:E16" si="0">+((D3+F3)*$H$2)/22</f>
        <v>80509.090909090912</v>
      </c>
      <c r="F3" s="17">
        <v>0</v>
      </c>
      <c r="G3" s="146"/>
    </row>
    <row r="4" spans="1:8" x14ac:dyDescent="0.25">
      <c r="A4" s="13" t="s">
        <v>13</v>
      </c>
      <c r="B4" s="10" t="s">
        <v>148</v>
      </c>
      <c r="C4" s="15">
        <v>4</v>
      </c>
      <c r="D4" s="141">
        <v>2300000</v>
      </c>
      <c r="E4" s="148">
        <f t="shared" si="0"/>
        <v>150545.45454545456</v>
      </c>
      <c r="F4" s="17">
        <f t="shared" ref="F4:F16" si="1">IF(D4&lt;700000,D4*$F$1,IF(D4&lt;1000000,D4*$G$1,0))</f>
        <v>0</v>
      </c>
      <c r="G4" s="146"/>
    </row>
    <row r="5" spans="1:8" x14ac:dyDescent="0.25">
      <c r="A5" s="13" t="s">
        <v>14</v>
      </c>
      <c r="B5" s="10" t="s">
        <v>159</v>
      </c>
      <c r="C5" s="15">
        <v>5</v>
      </c>
      <c r="D5" s="141">
        <v>900000</v>
      </c>
      <c r="E5" s="148">
        <f t="shared" si="0"/>
        <v>61265.454545454544</v>
      </c>
      <c r="F5" s="17">
        <f t="shared" si="1"/>
        <v>36000</v>
      </c>
      <c r="G5" s="146"/>
    </row>
    <row r="6" spans="1:8" x14ac:dyDescent="0.25">
      <c r="A6" s="13" t="s">
        <v>15</v>
      </c>
      <c r="B6" s="10" t="s">
        <v>149</v>
      </c>
      <c r="C6" s="15">
        <v>1</v>
      </c>
      <c r="D6" s="141">
        <v>150000</v>
      </c>
      <c r="E6" s="148">
        <f t="shared" si="0"/>
        <v>10505.454545454546</v>
      </c>
      <c r="F6" s="17">
        <f t="shared" si="1"/>
        <v>10500.000000000002</v>
      </c>
      <c r="G6" s="146"/>
    </row>
    <row r="7" spans="1:8" x14ac:dyDescent="0.25">
      <c r="A7" s="14" t="s">
        <v>16</v>
      </c>
      <c r="B7" s="10" t="s">
        <v>150</v>
      </c>
      <c r="C7" s="15">
        <v>7</v>
      </c>
      <c r="D7" s="141">
        <v>450000</v>
      </c>
      <c r="E7" s="148">
        <f t="shared" si="0"/>
        <v>31516.363636363636</v>
      </c>
      <c r="F7" s="17">
        <f t="shared" si="1"/>
        <v>31500.000000000004</v>
      </c>
      <c r="G7" s="146"/>
    </row>
    <row r="8" spans="1:8" x14ac:dyDescent="0.25">
      <c r="A8" s="13" t="s">
        <v>18</v>
      </c>
      <c r="B8" s="10" t="s">
        <v>151</v>
      </c>
      <c r="C8" s="16">
        <v>5</v>
      </c>
      <c r="D8" s="141">
        <v>1350000</v>
      </c>
      <c r="E8" s="148">
        <f t="shared" si="0"/>
        <v>88363.636363636368</v>
      </c>
      <c r="F8" s="17">
        <f t="shared" si="1"/>
        <v>0</v>
      </c>
      <c r="G8" s="146"/>
    </row>
    <row r="9" spans="1:8" x14ac:dyDescent="0.25">
      <c r="A9" s="13" t="s">
        <v>17</v>
      </c>
      <c r="B9" s="10" t="s">
        <v>184</v>
      </c>
      <c r="C9" s="16">
        <v>6</v>
      </c>
      <c r="D9" s="141">
        <v>493333.33333333302</v>
      </c>
      <c r="E9" s="148">
        <f t="shared" si="0"/>
        <v>34551.272727272699</v>
      </c>
      <c r="F9" s="17">
        <f t="shared" si="1"/>
        <v>34533.333333333314</v>
      </c>
      <c r="G9" s="146"/>
    </row>
    <row r="10" spans="1:8" x14ac:dyDescent="0.25">
      <c r="A10" s="13" t="s">
        <v>19</v>
      </c>
      <c r="B10" s="10" t="s">
        <v>153</v>
      </c>
      <c r="C10" s="16">
        <v>3</v>
      </c>
      <c r="D10" s="141">
        <v>330476.19047619001</v>
      </c>
      <c r="E10" s="148">
        <f t="shared" si="0"/>
        <v>23145.350649350617</v>
      </c>
      <c r="F10" s="17">
        <f t="shared" si="1"/>
        <v>23133.333333333303</v>
      </c>
      <c r="G10" s="146"/>
    </row>
    <row r="11" spans="1:8" x14ac:dyDescent="0.25">
      <c r="A11" s="13" t="s">
        <v>20</v>
      </c>
      <c r="B11" s="10" t="s">
        <v>158</v>
      </c>
      <c r="C11" s="15">
        <v>2</v>
      </c>
      <c r="D11" s="141">
        <v>167619.04761904999</v>
      </c>
      <c r="E11" s="148">
        <f t="shared" si="0"/>
        <v>11739.428571428736</v>
      </c>
      <c r="F11" s="17">
        <f t="shared" si="1"/>
        <v>11733.333333333501</v>
      </c>
      <c r="G11" s="146"/>
    </row>
    <row r="12" spans="1:8" x14ac:dyDescent="0.25">
      <c r="A12" s="13" t="s">
        <v>21</v>
      </c>
      <c r="B12" s="10" t="s">
        <v>157</v>
      </c>
      <c r="C12" s="15">
        <v>6</v>
      </c>
      <c r="D12" s="141">
        <v>689000</v>
      </c>
      <c r="E12" s="148">
        <f t="shared" si="0"/>
        <v>48255.054545454543</v>
      </c>
      <c r="F12" s="17">
        <f t="shared" si="1"/>
        <v>48230.000000000007</v>
      </c>
      <c r="G12" s="146"/>
    </row>
    <row r="13" spans="1:8" x14ac:dyDescent="0.25">
      <c r="A13" s="13" t="s">
        <v>22</v>
      </c>
      <c r="B13" s="10" t="s">
        <v>156</v>
      </c>
      <c r="C13" s="15">
        <v>4</v>
      </c>
      <c r="D13" s="141">
        <v>1340000</v>
      </c>
      <c r="E13" s="148">
        <f t="shared" si="0"/>
        <v>87709.090909090912</v>
      </c>
      <c r="F13" s="17">
        <f t="shared" si="1"/>
        <v>0</v>
      </c>
      <c r="G13" s="146"/>
    </row>
    <row r="14" spans="1:8" x14ac:dyDescent="0.25">
      <c r="A14" s="13" t="s">
        <v>19</v>
      </c>
      <c r="B14" s="10" t="s">
        <v>160</v>
      </c>
      <c r="C14" s="15">
        <v>1</v>
      </c>
      <c r="D14" s="141">
        <v>789000</v>
      </c>
      <c r="E14" s="148">
        <f t="shared" si="0"/>
        <v>53709.381818181813</v>
      </c>
      <c r="F14" s="17">
        <f t="shared" si="1"/>
        <v>31560</v>
      </c>
      <c r="G14" s="146"/>
    </row>
    <row r="15" spans="1:8" x14ac:dyDescent="0.25">
      <c r="A15" s="14" t="s">
        <v>23</v>
      </c>
      <c r="B15" s="10" t="s">
        <v>154</v>
      </c>
      <c r="C15" s="16">
        <v>4</v>
      </c>
      <c r="D15" s="141">
        <v>3500000</v>
      </c>
      <c r="E15" s="148">
        <f t="shared" si="0"/>
        <v>229090.90909090909</v>
      </c>
      <c r="F15" s="17">
        <f t="shared" si="1"/>
        <v>0</v>
      </c>
      <c r="G15" s="146"/>
    </row>
    <row r="16" spans="1:8" x14ac:dyDescent="0.25">
      <c r="A16" s="14" t="s">
        <v>24</v>
      </c>
      <c r="B16" s="10" t="s">
        <v>155</v>
      </c>
      <c r="C16" s="16">
        <v>8</v>
      </c>
      <c r="D16" s="141">
        <v>6466000</v>
      </c>
      <c r="E16" s="148">
        <f t="shared" si="0"/>
        <v>423229.09090909088</v>
      </c>
      <c r="F16" s="17">
        <f t="shared" si="1"/>
        <v>0</v>
      </c>
      <c r="G16" s="146"/>
    </row>
    <row r="18" spans="2:2" x14ac:dyDescent="0.25">
      <c r="B18" s="8"/>
    </row>
  </sheetData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baseColWidth="10" defaultRowHeight="15" x14ac:dyDescent="0.2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 x14ac:dyDescent="0.25">
      <c r="B1" s="240" t="s">
        <v>146</v>
      </c>
      <c r="C1" s="239"/>
      <c r="D1" s="239" t="s">
        <v>125</v>
      </c>
      <c r="E1" s="22">
        <f ca="1">TODAY()</f>
        <v>41584</v>
      </c>
    </row>
    <row r="2" spans="1:5" ht="45" x14ac:dyDescent="0.25">
      <c r="A2" s="19" t="s">
        <v>9</v>
      </c>
      <c r="B2" s="19" t="s">
        <v>0</v>
      </c>
      <c r="C2" s="142" t="s">
        <v>165</v>
      </c>
      <c r="D2" s="142" t="s">
        <v>166</v>
      </c>
      <c r="E2" s="138" t="s">
        <v>167</v>
      </c>
    </row>
    <row r="3" spans="1:5" x14ac:dyDescent="0.25">
      <c r="A3" s="9">
        <v>1</v>
      </c>
      <c r="B3" s="9" t="s">
        <v>25</v>
      </c>
      <c r="C3" s="23">
        <f>SUMIF(CostoxDepto!$B$3:$B$16,$B$3:$B$10,CostoxDepto!$E$3:$E$16)</f>
        <v>5458261.0909090908</v>
      </c>
      <c r="D3" s="23">
        <f>SUMIF(CostoxDepto!$B$3:$B$16,$B$3:$B$10,CostoxDepto!$G$3:$G$16)</f>
        <v>10566818.181818182</v>
      </c>
      <c r="E3" s="23">
        <f>SUMIF(CostoxDepto!$B$3:$B$16,$B$3:$B$10,CostoxDepto!$I$3:$I$16)</f>
        <v>10566818.181818182</v>
      </c>
    </row>
    <row r="4" spans="1:5" x14ac:dyDescent="0.25">
      <c r="A4" s="9">
        <v>2</v>
      </c>
      <c r="B4" s="9" t="s">
        <v>183</v>
      </c>
      <c r="C4" s="23">
        <f>SUMIF(CostoxDepto!$B$3:$B$16,$B$3:$B$10,CostoxDepto!$E$3:$E$16)</f>
        <v>9107457.6623376776</v>
      </c>
      <c r="D4" s="23">
        <f>SUMIF(CostoxDepto!$B$3:$B$16,$B$3:$B$10,CostoxDepto!$G$3:$G$16)</f>
        <v>11412163.636363637</v>
      </c>
      <c r="E4" s="23">
        <f>SUMIF(CostoxDepto!$B$3:$B$16,$B$3:$B$10,CostoxDepto!$I$3:$I$16)</f>
        <v>8876127.2727272734</v>
      </c>
    </row>
    <row r="5" spans="1:5" x14ac:dyDescent="0.25">
      <c r="A5" s="9">
        <v>3</v>
      </c>
      <c r="B5" s="9" t="s">
        <v>26</v>
      </c>
      <c r="C5" s="23">
        <f>SUMIF(CostoxDepto!$B$3:$B$16,$B$3:$B$10,CostoxDepto!$E$3:$E$16)</f>
        <v>3332930.4935064889</v>
      </c>
      <c r="D5" s="23">
        <f>SUMIF(CostoxDepto!$B$3:$B$16,$B$3:$B$10,CostoxDepto!$G$3:$G$16)</f>
        <v>0</v>
      </c>
      <c r="E5" s="23">
        <f>SUMIF(CostoxDepto!$B$3:$B$16,$B$3:$B$10,CostoxDepto!$I$3:$I$16)</f>
        <v>0</v>
      </c>
    </row>
    <row r="6" spans="1:5" x14ac:dyDescent="0.25">
      <c r="A6" s="9">
        <v>4</v>
      </c>
      <c r="B6" s="9" t="s">
        <v>27</v>
      </c>
      <c r="C6" s="23">
        <f>SUMIF(CostoxDepto!$B$3:$B$16,$B$3:$B$10,CostoxDepto!$E$3:$E$16)</f>
        <v>31385454.545454547</v>
      </c>
      <c r="D6" s="23">
        <f>SUMIF(CostoxDepto!$B$3:$B$16,$B$3:$B$10,CostoxDepto!$G$3:$G$16)</f>
        <v>10313214.545454547</v>
      </c>
      <c r="E6" s="23">
        <f>SUMIF(CostoxDepto!$B$3:$B$16,$B$3:$B$10,CostoxDepto!$I$3:$I$16)</f>
        <v>7100901.8181818193</v>
      </c>
    </row>
    <row r="7" spans="1:5" x14ac:dyDescent="0.25">
      <c r="A7" s="9">
        <v>5</v>
      </c>
      <c r="B7" s="9" t="s">
        <v>28</v>
      </c>
      <c r="C7" s="23">
        <f>SUMIF(CostoxDepto!$B$3:$B$16,$B$3:$B$10,CostoxDepto!$E$3:$E$16)</f>
        <v>2562545.4545454546</v>
      </c>
      <c r="D7" s="23">
        <f>SUMIF(CostoxDepto!$B$3:$B$16,$B$3:$B$10,CostoxDepto!$G$3:$G$16)</f>
        <v>30094298.181818184</v>
      </c>
      <c r="E7" s="23">
        <f>SUMIF(CostoxDepto!$B$3:$B$16,$B$3:$B$10,CostoxDepto!$I$3:$I$16)</f>
        <v>3043243.6363636367</v>
      </c>
    </row>
    <row r="8" spans="1:5" x14ac:dyDescent="0.25">
      <c r="A8" s="9">
        <v>6</v>
      </c>
      <c r="B8" s="9" t="s">
        <v>29</v>
      </c>
      <c r="C8" s="23">
        <f>SUMIF(CostoxDepto!$B$3:$B$16,$B$3:$B$10,CostoxDepto!$E$3:$E$16)</f>
        <v>0</v>
      </c>
      <c r="D8" s="23">
        <f>SUMIF(CostoxDepto!$B$3:$B$16,$B$3:$B$10,CostoxDepto!$G$3:$G$16)</f>
        <v>8030781.8181818184</v>
      </c>
      <c r="E8" s="23">
        <f>SUMIF(CostoxDepto!$B$3:$B$16,$B$3:$B$10,CostoxDepto!$I$3:$I$16)</f>
        <v>6762763.6363636367</v>
      </c>
    </row>
    <row r="9" spans="1:5" x14ac:dyDescent="0.25">
      <c r="A9" s="9">
        <v>7</v>
      </c>
      <c r="B9" s="9" t="s">
        <v>30</v>
      </c>
      <c r="C9" s="23">
        <f>SUMIF(CostoxDepto!$B$3:$B$16,$B$3:$B$10,CostoxDepto!$E$3:$E$16)</f>
        <v>3939545.4545454546</v>
      </c>
      <c r="D9" s="23">
        <f>SUMIF(CostoxDepto!$B$3:$B$16,$B$3:$B$10,CostoxDepto!$G$3:$G$16)</f>
        <v>1014414.5454545455</v>
      </c>
      <c r="E9" s="23">
        <f>SUMIF(CostoxDepto!$B$3:$B$16,$B$3:$B$10,CostoxDepto!$I$3:$I$16)</f>
        <v>1014414.5454545455</v>
      </c>
    </row>
    <row r="10" spans="1:5" ht="15.75" thickBot="1" x14ac:dyDescent="0.3">
      <c r="A10" s="9">
        <v>8</v>
      </c>
      <c r="B10" s="86" t="s">
        <v>31</v>
      </c>
      <c r="C10" s="23">
        <f>SUMIF(CostoxDepto!$B$3:$B$16,$B$3:$B$10,CostoxDepto!$E$3:$E$16)</f>
        <v>0</v>
      </c>
      <c r="D10" s="23">
        <f>SUMIF(CostoxDepto!$B$3:$B$16,$B$3:$B$10,CostoxDepto!$G$3:$G$16)</f>
        <v>12680181.818181818</v>
      </c>
      <c r="E10" s="23">
        <f>SUMIF(CostoxDepto!$B$3:$B$16,$B$3:$B$10,CostoxDepto!$I$3:$I$16)</f>
        <v>7608109.0909090908</v>
      </c>
    </row>
    <row r="11" spans="1:5" ht="15.75" thickBot="1" x14ac:dyDescent="0.3">
      <c r="B11" s="136" t="s">
        <v>63</v>
      </c>
      <c r="C11" s="128">
        <f>SUM(C3:C10)</f>
        <v>55786194.701298714</v>
      </c>
      <c r="D11" s="129">
        <f>SUM(D3:D10)</f>
        <v>84111872.727272719</v>
      </c>
      <c r="E11" s="156">
        <f t="shared" ref="E11" si="0">SUM(E3:E10)</f>
        <v>44972378.181818187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0"/>
  <sheetViews>
    <sheetView tabSelected="1" topLeftCell="A2" zoomScaleNormal="100" workbookViewId="0">
      <selection activeCell="L21" sqref="L21"/>
    </sheetView>
  </sheetViews>
  <sheetFormatPr baseColWidth="10" defaultRowHeight="15" x14ac:dyDescent="0.25"/>
  <cols>
    <col min="1" max="1" width="18" bestFit="1" customWidth="1"/>
    <col min="2" max="2" width="12.85546875" customWidth="1"/>
    <col min="3" max="3" width="12.5703125" bestFit="1" customWidth="1"/>
    <col min="4" max="4" width="13.42578125" customWidth="1"/>
  </cols>
  <sheetData>
    <row r="3" spans="1:4" x14ac:dyDescent="0.25">
      <c r="A3" s="24" t="s">
        <v>40</v>
      </c>
      <c r="B3" t="s">
        <v>220</v>
      </c>
      <c r="C3" t="s">
        <v>221</v>
      </c>
      <c r="D3" s="238" t="s">
        <v>222</v>
      </c>
    </row>
    <row r="4" spans="1:4" x14ac:dyDescent="0.25">
      <c r="A4" s="25" t="s">
        <v>36</v>
      </c>
      <c r="B4" s="6">
        <v>265620100</v>
      </c>
      <c r="C4" s="6">
        <v>248023000</v>
      </c>
      <c r="D4" s="241">
        <f>Departamentos!E11</f>
        <v>44972378.181818187</v>
      </c>
    </row>
    <row r="5" spans="1:4" x14ac:dyDescent="0.25">
      <c r="A5" s="26" t="s">
        <v>31</v>
      </c>
      <c r="B5" s="6">
        <v>40185000</v>
      </c>
      <c r="C5" s="6">
        <v>22325000</v>
      </c>
      <c r="D5" s="6">
        <f>Departamentos!E3</f>
        <v>10566818.181818182</v>
      </c>
    </row>
    <row r="6" spans="1:4" x14ac:dyDescent="0.25">
      <c r="A6" s="26" t="s">
        <v>28</v>
      </c>
      <c r="B6" s="6">
        <v>37412000</v>
      </c>
      <c r="C6" s="6">
        <v>39800000</v>
      </c>
      <c r="D6" s="6">
        <f>Departamentos!E4</f>
        <v>8876127.2727272734</v>
      </c>
    </row>
    <row r="7" spans="1:4" x14ac:dyDescent="0.25">
      <c r="A7" s="26" t="s">
        <v>183</v>
      </c>
      <c r="B7" s="6">
        <v>52183500</v>
      </c>
      <c r="C7" s="6">
        <v>34789000</v>
      </c>
      <c r="D7" s="6">
        <f>Departamentos!E5</f>
        <v>0</v>
      </c>
    </row>
    <row r="8" spans="1:4" x14ac:dyDescent="0.25">
      <c r="A8" s="26" t="s">
        <v>27</v>
      </c>
      <c r="B8" s="6">
        <v>69480000</v>
      </c>
      <c r="C8" s="6">
        <v>57900000</v>
      </c>
      <c r="D8" s="6">
        <f>Departamentos!E6</f>
        <v>7100901.8181818193</v>
      </c>
    </row>
    <row r="9" spans="1:4" x14ac:dyDescent="0.25">
      <c r="A9" s="26" t="s">
        <v>26</v>
      </c>
      <c r="B9" s="6">
        <v>29330000</v>
      </c>
      <c r="C9" s="6">
        <v>41900000</v>
      </c>
      <c r="D9" s="6">
        <f>Departamentos!E7</f>
        <v>3043243.6363636367</v>
      </c>
    </row>
    <row r="10" spans="1:4" x14ac:dyDescent="0.25">
      <c r="A10" s="26" t="s">
        <v>25</v>
      </c>
      <c r="B10" s="6">
        <v>24148600</v>
      </c>
      <c r="C10" s="6">
        <v>25690000</v>
      </c>
      <c r="D10" s="6">
        <f>Departamentos!E8</f>
        <v>6762763.6363636367</v>
      </c>
    </row>
    <row r="11" spans="1:4" x14ac:dyDescent="0.25">
      <c r="A11" s="26" t="s">
        <v>30</v>
      </c>
      <c r="B11" s="6">
        <v>12881000.000000002</v>
      </c>
      <c r="C11" s="6">
        <v>11710000</v>
      </c>
      <c r="D11" s="6">
        <f>Departamentos!E9</f>
        <v>1014414.5454545455</v>
      </c>
    </row>
    <row r="12" spans="1:4" x14ac:dyDescent="0.25">
      <c r="A12" s="26" t="s">
        <v>29</v>
      </c>
      <c r="B12" s="6">
        <v>0</v>
      </c>
      <c r="C12" s="6">
        <v>13909000</v>
      </c>
      <c r="D12" s="6">
        <f>Departamentos!E10</f>
        <v>7608109.0909090908</v>
      </c>
    </row>
    <row r="13" spans="1:4" x14ac:dyDescent="0.25">
      <c r="A13" s="25" t="s">
        <v>37</v>
      </c>
      <c r="B13" s="6">
        <v>236710548</v>
      </c>
      <c r="C13" s="6">
        <v>287656900</v>
      </c>
      <c r="D13" s="241"/>
    </row>
    <row r="14" spans="1:4" x14ac:dyDescent="0.25">
      <c r="A14" s="26" t="s">
        <v>31</v>
      </c>
      <c r="B14" s="6">
        <v>0</v>
      </c>
      <c r="C14" s="137">
        <v>0</v>
      </c>
      <c r="D14" s="6">
        <v>908000</v>
      </c>
    </row>
    <row r="15" spans="1:4" x14ac:dyDescent="0.25">
      <c r="A15" s="26" t="s">
        <v>28</v>
      </c>
      <c r="B15" s="6">
        <v>27570200</v>
      </c>
      <c r="C15" s="137">
        <v>29330000</v>
      </c>
      <c r="D15" s="6">
        <v>31089800</v>
      </c>
    </row>
    <row r="16" spans="1:4" x14ac:dyDescent="0.25">
      <c r="A16" s="26" t="s">
        <v>183</v>
      </c>
      <c r="B16" s="6">
        <v>47856150</v>
      </c>
      <c r="C16" s="137">
        <v>31904100</v>
      </c>
      <c r="D16" s="6">
        <v>15952050</v>
      </c>
    </row>
    <row r="17" spans="1:4" x14ac:dyDescent="0.25">
      <c r="A17" s="26" t="s">
        <v>27</v>
      </c>
      <c r="B17" s="6">
        <v>62620200</v>
      </c>
      <c r="C17" s="137">
        <v>52183500</v>
      </c>
      <c r="D17" s="6">
        <v>41746800</v>
      </c>
    </row>
    <row r="18" spans="1:4" x14ac:dyDescent="0.25">
      <c r="A18" s="26" t="s">
        <v>26</v>
      </c>
      <c r="B18" s="6">
        <v>16904020</v>
      </c>
      <c r="C18" s="137">
        <v>24148600</v>
      </c>
      <c r="D18" s="6">
        <v>31393180</v>
      </c>
    </row>
    <row r="19" spans="1:4" x14ac:dyDescent="0.25">
      <c r="A19" s="26" t="s">
        <v>25</v>
      </c>
      <c r="B19" s="6">
        <v>40606778</v>
      </c>
      <c r="C19" s="137">
        <v>43198700</v>
      </c>
      <c r="D19" s="6">
        <v>45790622</v>
      </c>
    </row>
    <row r="20" spans="1:4" x14ac:dyDescent="0.25">
      <c r="A20" s="26" t="s">
        <v>30</v>
      </c>
      <c r="B20" s="6">
        <v>41153200</v>
      </c>
      <c r="C20" s="137">
        <v>37412000</v>
      </c>
      <c r="D20" s="6">
        <v>33670800</v>
      </c>
    </row>
    <row r="21" spans="1:4" x14ac:dyDescent="0.25">
      <c r="A21" s="26" t="s">
        <v>29</v>
      </c>
      <c r="B21" s="6">
        <v>0</v>
      </c>
      <c r="C21" s="137">
        <v>69480000</v>
      </c>
      <c r="D21" s="6">
        <v>138960000</v>
      </c>
    </row>
    <row r="22" spans="1:4" x14ac:dyDescent="0.25">
      <c r="A22" s="25" t="s">
        <v>38</v>
      </c>
      <c r="B22" s="6">
        <v>288025643.40000004</v>
      </c>
      <c r="C22" s="137">
        <v>279605232</v>
      </c>
      <c r="D22" s="6">
        <v>271184820.60000002</v>
      </c>
    </row>
    <row r="23" spans="1:4" x14ac:dyDescent="0.25">
      <c r="A23" s="26" t="s">
        <v>31</v>
      </c>
      <c r="B23" s="6">
        <v>125064000</v>
      </c>
      <c r="C23" s="137">
        <v>69480000</v>
      </c>
      <c r="D23" s="6">
        <v>13896000</v>
      </c>
    </row>
    <row r="24" spans="1:4" x14ac:dyDescent="0.25">
      <c r="A24" s="26" t="s">
        <v>28</v>
      </c>
      <c r="B24" s="6">
        <v>22699684</v>
      </c>
      <c r="C24" s="137">
        <v>24148600</v>
      </c>
      <c r="D24" s="6">
        <v>25597516</v>
      </c>
    </row>
    <row r="25" spans="1:4" x14ac:dyDescent="0.25">
      <c r="A25" s="26" t="s">
        <v>183</v>
      </c>
      <c r="B25" s="6">
        <v>31478250</v>
      </c>
      <c r="C25" s="137">
        <v>20985500</v>
      </c>
      <c r="D25" s="6">
        <v>10492750</v>
      </c>
    </row>
    <row r="26" spans="1:4" x14ac:dyDescent="0.25">
      <c r="A26" s="26" t="s">
        <v>27</v>
      </c>
      <c r="B26" s="6">
        <v>35987824.799999997</v>
      </c>
      <c r="C26" s="137">
        <v>29989854</v>
      </c>
      <c r="D26" s="6">
        <v>23991883.199999999</v>
      </c>
    </row>
    <row r="27" spans="1:4" x14ac:dyDescent="0.25">
      <c r="A27" s="26" t="s">
        <v>26</v>
      </c>
      <c r="B27" s="6">
        <v>28424744.599999998</v>
      </c>
      <c r="C27" s="137">
        <v>40606778</v>
      </c>
      <c r="D27" s="6">
        <v>52788811.399999999</v>
      </c>
    </row>
    <row r="28" spans="1:4" x14ac:dyDescent="0.25">
      <c r="A28" s="26" t="s">
        <v>25</v>
      </c>
      <c r="B28" s="6">
        <v>12108140.000000002</v>
      </c>
      <c r="C28" s="137">
        <v>12881000.000000002</v>
      </c>
      <c r="D28" s="6">
        <v>13653860</v>
      </c>
    </row>
    <row r="29" spans="1:4" x14ac:dyDescent="0.25">
      <c r="A29" s="26" t="s">
        <v>30</v>
      </c>
      <c r="B29" s="6">
        <v>32263000.000000004</v>
      </c>
      <c r="C29" s="137">
        <v>29330000</v>
      </c>
      <c r="D29" s="6">
        <v>26397000</v>
      </c>
    </row>
    <row r="30" spans="1:4" x14ac:dyDescent="0.25">
      <c r="A30" s="26" t="s">
        <v>29</v>
      </c>
      <c r="B30" s="6">
        <v>0</v>
      </c>
      <c r="C30" s="137">
        <v>52183500</v>
      </c>
      <c r="D30" s="6">
        <v>104367000</v>
      </c>
    </row>
    <row r="31" spans="1:4" x14ac:dyDescent="0.25">
      <c r="A31" s="25" t="s">
        <v>39</v>
      </c>
      <c r="B31" s="6">
        <v>197942626.69600001</v>
      </c>
      <c r="C31" s="137">
        <v>181890159.31999999</v>
      </c>
      <c r="D31" s="241">
        <v>165837691.94400001</v>
      </c>
    </row>
    <row r="32" spans="1:4" x14ac:dyDescent="0.25">
      <c r="A32" s="26" t="s">
        <v>31</v>
      </c>
      <c r="B32" s="6">
        <v>68706668.376000002</v>
      </c>
      <c r="C32" s="137">
        <v>38170371.32</v>
      </c>
      <c r="D32" s="6">
        <v>7634074.2640000004</v>
      </c>
    </row>
    <row r="33" spans="1:4" x14ac:dyDescent="0.25">
      <c r="A33" s="26" t="s">
        <v>28</v>
      </c>
      <c r="B33" s="6">
        <v>38170371.32</v>
      </c>
      <c r="C33" s="137">
        <v>40606778</v>
      </c>
      <c r="D33" s="6">
        <v>43043184.68</v>
      </c>
    </row>
    <row r="34" spans="1:4" x14ac:dyDescent="0.25">
      <c r="A34" s="26" t="s">
        <v>183</v>
      </c>
      <c r="B34" s="6">
        <v>0</v>
      </c>
      <c r="C34" s="137">
        <v>0</v>
      </c>
      <c r="D34" s="6">
        <v>0</v>
      </c>
    </row>
    <row r="35" spans="1:4" x14ac:dyDescent="0.25">
      <c r="A35" s="26" t="s">
        <v>27</v>
      </c>
      <c r="B35" s="6">
        <v>25182600</v>
      </c>
      <c r="C35" s="137">
        <v>20985500</v>
      </c>
      <c r="D35" s="6">
        <v>16788400</v>
      </c>
    </row>
    <row r="36" spans="1:4" x14ac:dyDescent="0.25">
      <c r="A36" s="26" t="s">
        <v>26</v>
      </c>
      <c r="B36" s="6">
        <v>9016700</v>
      </c>
      <c r="C36" s="137">
        <v>12881000.000000002</v>
      </c>
      <c r="D36" s="6">
        <v>16745300</v>
      </c>
    </row>
    <row r="37" spans="1:4" x14ac:dyDescent="0.25">
      <c r="A37" s="26" t="s">
        <v>25</v>
      </c>
      <c r="B37" s="6">
        <v>35167280</v>
      </c>
      <c r="C37" s="137">
        <v>37412000</v>
      </c>
      <c r="D37" s="6">
        <v>39656720</v>
      </c>
    </row>
    <row r="38" spans="1:4" x14ac:dyDescent="0.25">
      <c r="A38" s="26" t="s">
        <v>30</v>
      </c>
      <c r="B38" s="6">
        <v>21699007</v>
      </c>
      <c r="C38" s="137">
        <v>19726370</v>
      </c>
      <c r="D38" s="6">
        <v>7753733</v>
      </c>
    </row>
    <row r="39" spans="1:4" x14ac:dyDescent="0.25">
      <c r="A39" s="26" t="s">
        <v>29</v>
      </c>
      <c r="B39" s="6">
        <v>0</v>
      </c>
      <c r="C39" s="137">
        <v>12108140.000000002</v>
      </c>
      <c r="D39" s="6">
        <v>24216280</v>
      </c>
    </row>
    <row r="40" spans="1:4" x14ac:dyDescent="0.25">
      <c r="A40" s="25" t="s">
        <v>41</v>
      </c>
      <c r="B40" s="6">
        <v>988298918.09600008</v>
      </c>
      <c r="C40" s="137">
        <v>997175291.32000005</v>
      </c>
      <c r="D40" s="241">
        <v>1006051664.544</v>
      </c>
    </row>
  </sheetData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3" zoomScale="89" zoomScaleNormal="89" workbookViewId="0">
      <selection activeCell="C3" sqref="C3:E34"/>
    </sheetView>
  </sheetViews>
  <sheetFormatPr baseColWidth="10" defaultRowHeight="15" x14ac:dyDescent="0.25"/>
  <cols>
    <col min="1" max="1" width="18.42578125" customWidth="1"/>
    <col min="2" max="3" width="14" customWidth="1"/>
    <col min="4" max="4" width="13.42578125" customWidth="1"/>
    <col min="5" max="5" width="12.42578125" customWidth="1"/>
    <col min="6" max="6" width="5.28515625" customWidth="1"/>
    <col min="7" max="7" width="18" bestFit="1" customWidth="1"/>
    <col min="8" max="10" width="20.140625" bestFit="1" customWidth="1"/>
  </cols>
  <sheetData>
    <row r="1" spans="1:10" ht="15.75" thickBot="1" x14ac:dyDescent="0.3">
      <c r="C1" s="259" t="s">
        <v>92</v>
      </c>
      <c r="D1" s="259"/>
    </row>
    <row r="2" spans="1:10" x14ac:dyDescent="0.25">
      <c r="A2" s="242" t="s">
        <v>176</v>
      </c>
      <c r="B2" s="243" t="s">
        <v>26</v>
      </c>
      <c r="C2" s="19" t="s">
        <v>34</v>
      </c>
      <c r="D2" s="19" t="s">
        <v>223</v>
      </c>
      <c r="E2" s="19" t="s">
        <v>224</v>
      </c>
      <c r="G2" s="24" t="s">
        <v>40</v>
      </c>
      <c r="H2" t="s">
        <v>42</v>
      </c>
      <c r="I2" t="s">
        <v>226</v>
      </c>
      <c r="J2" t="s">
        <v>227</v>
      </c>
    </row>
    <row r="3" spans="1:10" x14ac:dyDescent="0.25">
      <c r="A3" s="244" t="s">
        <v>25</v>
      </c>
      <c r="B3" s="245" t="s">
        <v>146</v>
      </c>
      <c r="C3" s="251">
        <f>Departamentos!C3</f>
        <v>5458261.0909090908</v>
      </c>
      <c r="D3" s="251">
        <f>Departamentos!D3</f>
        <v>10566818.181818182</v>
      </c>
      <c r="E3" s="251">
        <f>Departamentos!E3</f>
        <v>10566818.181818182</v>
      </c>
      <c r="G3" s="25" t="s">
        <v>146</v>
      </c>
      <c r="H3" s="6">
        <v>55786194.701298714</v>
      </c>
      <c r="I3" s="248">
        <v>84111872.727272734</v>
      </c>
      <c r="J3" s="248">
        <v>44972378.181818187</v>
      </c>
    </row>
    <row r="4" spans="1:10" x14ac:dyDescent="0.25">
      <c r="A4" s="56" t="s">
        <v>183</v>
      </c>
      <c r="B4" s="246" t="s">
        <v>146</v>
      </c>
      <c r="C4" s="251">
        <f>Departamentos!C4</f>
        <v>9107457.6623376776</v>
      </c>
      <c r="D4" s="251">
        <f>Departamentos!D4</f>
        <v>11412163.636363637</v>
      </c>
      <c r="E4" s="251">
        <f>Departamentos!E4</f>
        <v>8876127.2727272734</v>
      </c>
      <c r="G4" s="26" t="s">
        <v>31</v>
      </c>
      <c r="H4" s="6">
        <v>0</v>
      </c>
      <c r="I4" s="248">
        <v>12680181.818181818</v>
      </c>
      <c r="J4" s="248">
        <v>7608109.0909090908</v>
      </c>
    </row>
    <row r="5" spans="1:10" x14ac:dyDescent="0.25">
      <c r="A5" s="56" t="s">
        <v>26</v>
      </c>
      <c r="B5" s="246" t="s">
        <v>146</v>
      </c>
      <c r="C5" s="251">
        <f>Departamentos!C5</f>
        <v>3332930.4935064889</v>
      </c>
      <c r="D5" s="251">
        <f>Departamentos!D5</f>
        <v>0</v>
      </c>
      <c r="E5" s="251">
        <f>Departamentos!E5</f>
        <v>0</v>
      </c>
      <c r="G5" s="26" t="s">
        <v>28</v>
      </c>
      <c r="H5" s="6">
        <v>2562545.4545454546</v>
      </c>
      <c r="I5" s="248">
        <v>30094298.181818184</v>
      </c>
      <c r="J5" s="248">
        <v>3043243.6363636367</v>
      </c>
    </row>
    <row r="6" spans="1:10" x14ac:dyDescent="0.25">
      <c r="A6" s="56" t="s">
        <v>27</v>
      </c>
      <c r="B6" s="246" t="s">
        <v>146</v>
      </c>
      <c r="C6" s="251">
        <f>Departamentos!C6</f>
        <v>31385454.545454547</v>
      </c>
      <c r="D6" s="251">
        <f>Departamentos!D6</f>
        <v>10313214.545454547</v>
      </c>
      <c r="E6" s="251">
        <f>Departamentos!E6</f>
        <v>7100901.8181818193</v>
      </c>
      <c r="G6" s="26" t="s">
        <v>27</v>
      </c>
      <c r="H6" s="6">
        <v>31385454.545454547</v>
      </c>
      <c r="I6" s="248">
        <v>10313214.545454547</v>
      </c>
      <c r="J6" s="248">
        <v>7100901.8181818193</v>
      </c>
    </row>
    <row r="7" spans="1:10" x14ac:dyDescent="0.25">
      <c r="A7" s="56" t="s">
        <v>28</v>
      </c>
      <c r="B7" s="246" t="s">
        <v>146</v>
      </c>
      <c r="C7" s="251">
        <f>Departamentos!C7</f>
        <v>2562545.4545454546</v>
      </c>
      <c r="D7" s="251">
        <f>Departamentos!D7</f>
        <v>30094298.181818184</v>
      </c>
      <c r="E7" s="251">
        <f>Departamentos!E7</f>
        <v>3043243.6363636367</v>
      </c>
      <c r="G7" s="26" t="s">
        <v>183</v>
      </c>
      <c r="H7" s="6">
        <v>9107457.6623376776</v>
      </c>
      <c r="I7" s="248">
        <v>11412163.636363637</v>
      </c>
      <c r="J7" s="248">
        <v>8876127.2727272734</v>
      </c>
    </row>
    <row r="8" spans="1:10" x14ac:dyDescent="0.25">
      <c r="A8" s="56" t="s">
        <v>29</v>
      </c>
      <c r="B8" s="246" t="s">
        <v>146</v>
      </c>
      <c r="C8" s="251">
        <f>Departamentos!C8</f>
        <v>0</v>
      </c>
      <c r="D8" s="251">
        <f>Departamentos!D8</f>
        <v>8030781.8181818184</v>
      </c>
      <c r="E8" s="251">
        <f>Departamentos!E8</f>
        <v>6762763.6363636367</v>
      </c>
      <c r="G8" s="26" t="s">
        <v>26</v>
      </c>
      <c r="H8" s="6">
        <v>3332930.4935064889</v>
      </c>
      <c r="I8" s="248">
        <v>0</v>
      </c>
      <c r="J8" s="248">
        <v>0</v>
      </c>
    </row>
    <row r="9" spans="1:10" x14ac:dyDescent="0.25">
      <c r="A9" s="56" t="s">
        <v>30</v>
      </c>
      <c r="B9" s="246" t="s">
        <v>146</v>
      </c>
      <c r="C9" s="251">
        <f>Departamentos!C9</f>
        <v>3939545.4545454546</v>
      </c>
      <c r="D9" s="251">
        <f>Departamentos!D9</f>
        <v>1014414.5454545455</v>
      </c>
      <c r="E9" s="251">
        <f>Departamentos!E9</f>
        <v>1014414.5454545455</v>
      </c>
      <c r="G9" s="26" t="s">
        <v>25</v>
      </c>
      <c r="H9" s="6">
        <v>5458261.0909090908</v>
      </c>
      <c r="I9" s="248">
        <v>10566818.181818182</v>
      </c>
      <c r="J9" s="248">
        <v>10566818.181818182</v>
      </c>
    </row>
    <row r="10" spans="1:10" ht="15.75" thickBot="1" x14ac:dyDescent="0.3">
      <c r="A10" s="57" t="s">
        <v>31</v>
      </c>
      <c r="B10" s="247" t="s">
        <v>146</v>
      </c>
      <c r="C10" s="251">
        <f>Departamentos!C10</f>
        <v>0</v>
      </c>
      <c r="D10" s="251">
        <f>Departamentos!D10</f>
        <v>12680181.818181818</v>
      </c>
      <c r="E10" s="251">
        <f>Departamentos!E10</f>
        <v>7608109.0909090908</v>
      </c>
      <c r="G10" s="26" t="s">
        <v>30</v>
      </c>
      <c r="H10" s="6">
        <v>3939545.4545454546</v>
      </c>
      <c r="I10" s="248">
        <v>1014414.5454545455</v>
      </c>
      <c r="J10" s="248">
        <v>1014414.5454545455</v>
      </c>
    </row>
    <row r="11" spans="1:10" x14ac:dyDescent="0.25">
      <c r="A11" s="56" t="s">
        <v>25</v>
      </c>
      <c r="B11" s="246" t="s">
        <v>169</v>
      </c>
      <c r="C11" s="251">
        <v>43198700</v>
      </c>
      <c r="D11" s="251">
        <f>+C11*0.94</f>
        <v>40606778</v>
      </c>
      <c r="E11" s="251">
        <v>43198700</v>
      </c>
      <c r="G11" s="26" t="s">
        <v>29</v>
      </c>
      <c r="H11" s="6">
        <v>0</v>
      </c>
      <c r="I11" s="248">
        <v>8030781.8181818184</v>
      </c>
      <c r="J11" s="248">
        <v>6762763.6363636367</v>
      </c>
    </row>
    <row r="12" spans="1:10" x14ac:dyDescent="0.25">
      <c r="A12" s="56" t="s">
        <v>183</v>
      </c>
      <c r="B12" s="246" t="s">
        <v>169</v>
      </c>
      <c r="C12" s="251">
        <v>125000</v>
      </c>
      <c r="D12" s="251">
        <f>+C12*1.5</f>
        <v>187500</v>
      </c>
      <c r="E12" s="251">
        <v>125000</v>
      </c>
      <c r="G12" s="25" t="s">
        <v>169</v>
      </c>
      <c r="H12" s="6">
        <v>255877800</v>
      </c>
      <c r="I12" s="248">
        <v>189041898</v>
      </c>
      <c r="J12" s="248">
        <v>223809800</v>
      </c>
    </row>
    <row r="13" spans="1:10" x14ac:dyDescent="0.25">
      <c r="A13" s="56" t="s">
        <v>26</v>
      </c>
      <c r="B13" s="246" t="s">
        <v>169</v>
      </c>
      <c r="C13" s="251">
        <v>24148600</v>
      </c>
      <c r="D13" s="251">
        <f>+C13*0.7</f>
        <v>16904020</v>
      </c>
      <c r="E13" s="251">
        <v>24148600</v>
      </c>
      <c r="G13" s="26" t="s">
        <v>31</v>
      </c>
      <c r="H13" s="6">
        <v>0</v>
      </c>
      <c r="I13" s="248">
        <v>0</v>
      </c>
      <c r="J13" s="248">
        <v>37412000</v>
      </c>
    </row>
    <row r="14" spans="1:10" x14ac:dyDescent="0.25">
      <c r="A14" s="56" t="s">
        <v>27</v>
      </c>
      <c r="B14" s="246" t="s">
        <v>169</v>
      </c>
      <c r="C14" s="251">
        <v>52183500</v>
      </c>
      <c r="D14" s="251">
        <f>+C14*1.2</f>
        <v>62620200</v>
      </c>
      <c r="E14" s="251">
        <v>52183500</v>
      </c>
      <c r="G14" s="26" t="s">
        <v>28</v>
      </c>
      <c r="H14" s="6">
        <v>29330000</v>
      </c>
      <c r="I14" s="248">
        <v>27570200</v>
      </c>
      <c r="J14" s="248">
        <v>29330000</v>
      </c>
    </row>
    <row r="15" spans="1:10" x14ac:dyDescent="0.25">
      <c r="A15" s="56" t="s">
        <v>28</v>
      </c>
      <c r="B15" s="246" t="s">
        <v>169</v>
      </c>
      <c r="C15" s="251">
        <v>29330000</v>
      </c>
      <c r="D15" s="251">
        <f t="shared" ref="D15" si="0">+C15*0.94</f>
        <v>27570200</v>
      </c>
      <c r="E15" s="251">
        <v>29330000</v>
      </c>
      <c r="G15" s="26" t="s">
        <v>27</v>
      </c>
      <c r="H15" s="6">
        <v>52183500</v>
      </c>
      <c r="I15" s="248">
        <v>62620200</v>
      </c>
      <c r="J15" s="248">
        <v>52183500</v>
      </c>
    </row>
    <row r="16" spans="1:10" x14ac:dyDescent="0.25">
      <c r="A16" s="56" t="s">
        <v>29</v>
      </c>
      <c r="B16" s="246" t="s">
        <v>169</v>
      </c>
      <c r="C16" s="251">
        <v>69480000</v>
      </c>
      <c r="D16" s="251">
        <v>0</v>
      </c>
      <c r="E16" s="251">
        <v>0</v>
      </c>
      <c r="G16" s="26" t="s">
        <v>183</v>
      </c>
      <c r="H16" s="6">
        <v>125000</v>
      </c>
      <c r="I16" s="248">
        <v>187500</v>
      </c>
      <c r="J16" s="248">
        <v>125000</v>
      </c>
    </row>
    <row r="17" spans="1:10" x14ac:dyDescent="0.25">
      <c r="A17" s="56" t="s">
        <v>30</v>
      </c>
      <c r="B17" s="246" t="s">
        <v>169</v>
      </c>
      <c r="C17" s="251">
        <v>37412000</v>
      </c>
      <c r="D17" s="251">
        <f>+C17*1.1</f>
        <v>41153200</v>
      </c>
      <c r="E17" s="251">
        <v>37412000</v>
      </c>
      <c r="G17" s="26" t="s">
        <v>26</v>
      </c>
      <c r="H17" s="6">
        <v>24148600</v>
      </c>
      <c r="I17" s="248">
        <v>16904020</v>
      </c>
      <c r="J17" s="248">
        <v>24148600</v>
      </c>
    </row>
    <row r="18" spans="1:10" x14ac:dyDescent="0.25">
      <c r="A18" s="56" t="s">
        <v>31</v>
      </c>
      <c r="B18" s="246" t="s">
        <v>169</v>
      </c>
      <c r="C18" s="251">
        <v>0</v>
      </c>
      <c r="D18" s="251">
        <f>+C18*1.8</f>
        <v>0</v>
      </c>
      <c r="E18" s="251">
        <v>37412000</v>
      </c>
      <c r="G18" s="26" t="s">
        <v>25</v>
      </c>
      <c r="H18" s="6">
        <v>43198700</v>
      </c>
      <c r="I18" s="248">
        <v>40606778</v>
      </c>
      <c r="J18" s="248">
        <v>43198700</v>
      </c>
    </row>
    <row r="19" spans="1:10" x14ac:dyDescent="0.25">
      <c r="A19" s="244" t="s">
        <v>25</v>
      </c>
      <c r="B19" s="245" t="s">
        <v>170</v>
      </c>
      <c r="C19" s="251">
        <v>12881000.000000002</v>
      </c>
      <c r="D19" s="251">
        <f>+C19*0.94</f>
        <v>12108140.000000002</v>
      </c>
      <c r="E19" s="249">
        <v>11976532.363636401</v>
      </c>
      <c r="G19" s="26" t="s">
        <v>30</v>
      </c>
      <c r="H19" s="6">
        <v>37412000</v>
      </c>
      <c r="I19" s="248">
        <v>41153200</v>
      </c>
      <c r="J19" s="248">
        <v>37412000</v>
      </c>
    </row>
    <row r="20" spans="1:10" x14ac:dyDescent="0.25">
      <c r="A20" s="56" t="s">
        <v>183</v>
      </c>
      <c r="B20" s="246" t="s">
        <v>170</v>
      </c>
      <c r="C20" s="251">
        <v>20985500</v>
      </c>
      <c r="D20" s="251">
        <f>+C20*1.5</f>
        <v>31478250</v>
      </c>
      <c r="E20" s="181">
        <v>0</v>
      </c>
      <c r="G20" s="26" t="s">
        <v>29</v>
      </c>
      <c r="H20" s="6">
        <v>69480000</v>
      </c>
      <c r="I20" s="248">
        <v>0</v>
      </c>
      <c r="J20" s="248">
        <v>0</v>
      </c>
    </row>
    <row r="21" spans="1:10" x14ac:dyDescent="0.25">
      <c r="A21" s="56" t="s">
        <v>26</v>
      </c>
      <c r="B21" s="246" t="s">
        <v>170</v>
      </c>
      <c r="C21" s="251">
        <v>40606778</v>
      </c>
      <c r="D21" s="251">
        <f>+C21*0.7</f>
        <v>28424744.599999998</v>
      </c>
      <c r="E21" s="181">
        <v>29330000</v>
      </c>
      <c r="G21" s="25" t="s">
        <v>170</v>
      </c>
      <c r="H21" s="6">
        <v>279605232</v>
      </c>
      <c r="I21" s="248">
        <v>288025643.40000004</v>
      </c>
      <c r="J21" s="248">
        <v>200153432.3636364</v>
      </c>
    </row>
    <row r="22" spans="1:10" x14ac:dyDescent="0.25">
      <c r="A22" s="56" t="s">
        <v>27</v>
      </c>
      <c r="B22" s="246" t="s">
        <v>170</v>
      </c>
      <c r="C22" s="251">
        <v>29989854</v>
      </c>
      <c r="D22" s="251">
        <f>+C22*1.2</f>
        <v>35987824.799999997</v>
      </c>
      <c r="E22" s="181">
        <v>31904100</v>
      </c>
      <c r="G22" s="26" t="s">
        <v>31</v>
      </c>
      <c r="H22" s="6">
        <v>69480000</v>
      </c>
      <c r="I22" s="248">
        <v>125064000</v>
      </c>
      <c r="J22" s="248">
        <v>7412000</v>
      </c>
    </row>
    <row r="23" spans="1:10" x14ac:dyDescent="0.25">
      <c r="A23" s="56" t="s">
        <v>28</v>
      </c>
      <c r="B23" s="246" t="s">
        <v>170</v>
      </c>
      <c r="C23" s="251">
        <v>24148600</v>
      </c>
      <c r="D23" s="251">
        <f t="shared" ref="D23" si="1">+C23*0.94</f>
        <v>22699684</v>
      </c>
      <c r="E23" s="181">
        <v>52183500</v>
      </c>
      <c r="G23" s="26" t="s">
        <v>28</v>
      </c>
      <c r="H23" s="6">
        <v>24148600</v>
      </c>
      <c r="I23" s="248">
        <v>22699684</v>
      </c>
      <c r="J23" s="248">
        <v>52183500</v>
      </c>
    </row>
    <row r="24" spans="1:10" x14ac:dyDescent="0.25">
      <c r="A24" s="56" t="s">
        <v>29</v>
      </c>
      <c r="B24" s="246" t="s">
        <v>170</v>
      </c>
      <c r="C24" s="251">
        <v>52183500</v>
      </c>
      <c r="D24" s="251">
        <v>0</v>
      </c>
      <c r="E24" s="181">
        <v>24148600</v>
      </c>
      <c r="G24" s="26" t="s">
        <v>27</v>
      </c>
      <c r="H24" s="6">
        <v>29989854</v>
      </c>
      <c r="I24" s="248">
        <v>35987824.799999997</v>
      </c>
      <c r="J24" s="248">
        <v>31904100</v>
      </c>
    </row>
    <row r="25" spans="1:10" x14ac:dyDescent="0.25">
      <c r="A25" s="56" t="s">
        <v>30</v>
      </c>
      <c r="B25" s="246" t="s">
        <v>170</v>
      </c>
      <c r="C25" s="251">
        <v>29330000</v>
      </c>
      <c r="D25" s="251">
        <f>+C25*1.1</f>
        <v>32263000.000000004</v>
      </c>
      <c r="E25" s="181">
        <v>43198700</v>
      </c>
      <c r="G25" s="26" t="s">
        <v>183</v>
      </c>
      <c r="H25" s="6">
        <v>20985500</v>
      </c>
      <c r="I25" s="248">
        <v>31478250</v>
      </c>
      <c r="J25" s="248">
        <v>0</v>
      </c>
    </row>
    <row r="26" spans="1:10" ht="15.75" thickBot="1" x14ac:dyDescent="0.3">
      <c r="A26" s="57" t="s">
        <v>31</v>
      </c>
      <c r="B26" s="247" t="s">
        <v>170</v>
      </c>
      <c r="C26" s="251">
        <v>69480000</v>
      </c>
      <c r="D26" s="251">
        <f>+C26*1.8</f>
        <v>125064000</v>
      </c>
      <c r="E26" s="250">
        <v>7412000</v>
      </c>
      <c r="G26" s="26" t="s">
        <v>26</v>
      </c>
      <c r="H26" s="6">
        <v>40606778</v>
      </c>
      <c r="I26" s="248">
        <v>28424744.599999998</v>
      </c>
      <c r="J26" s="248">
        <v>29330000</v>
      </c>
    </row>
    <row r="27" spans="1:10" x14ac:dyDescent="0.25">
      <c r="A27" s="9" t="s">
        <v>25</v>
      </c>
      <c r="B27" s="9" t="s">
        <v>171</v>
      </c>
      <c r="C27" s="251">
        <v>37412000</v>
      </c>
      <c r="D27" s="251">
        <f>+C27*0.94</f>
        <v>35167280</v>
      </c>
      <c r="E27" s="251">
        <v>37412000</v>
      </c>
      <c r="G27" s="26" t="s">
        <v>25</v>
      </c>
      <c r="H27" s="6">
        <v>12881000.000000002</v>
      </c>
      <c r="I27" s="248">
        <v>12108140.000000002</v>
      </c>
      <c r="J27" s="248">
        <v>11976532.363636401</v>
      </c>
    </row>
    <row r="28" spans="1:10" x14ac:dyDescent="0.25">
      <c r="A28" s="9" t="s">
        <v>183</v>
      </c>
      <c r="B28" s="9" t="s">
        <v>171</v>
      </c>
      <c r="C28" s="251">
        <v>0</v>
      </c>
      <c r="D28" s="251">
        <f>+C28*1.5</f>
        <v>0</v>
      </c>
      <c r="E28" s="251">
        <v>0</v>
      </c>
      <c r="G28" s="26" t="s">
        <v>30</v>
      </c>
      <c r="H28" s="6">
        <v>29330000</v>
      </c>
      <c r="I28" s="248">
        <v>32263000.000000004</v>
      </c>
      <c r="J28" s="248">
        <v>43198700</v>
      </c>
    </row>
    <row r="29" spans="1:10" x14ac:dyDescent="0.25">
      <c r="A29" s="9" t="s">
        <v>26</v>
      </c>
      <c r="B29" s="9" t="s">
        <v>171</v>
      </c>
      <c r="C29" s="251">
        <v>12881000.000000002</v>
      </c>
      <c r="D29" s="251">
        <f>+C29*0.7</f>
        <v>9016700</v>
      </c>
      <c r="E29" s="251">
        <v>12881000.000000002</v>
      </c>
      <c r="G29" s="26" t="s">
        <v>29</v>
      </c>
      <c r="H29" s="6">
        <v>52183500</v>
      </c>
      <c r="I29" s="248">
        <v>0</v>
      </c>
      <c r="J29" s="248">
        <v>24148600</v>
      </c>
    </row>
    <row r="30" spans="1:10" x14ac:dyDescent="0.25">
      <c r="A30" s="9" t="s">
        <v>27</v>
      </c>
      <c r="B30" s="9" t="s">
        <v>171</v>
      </c>
      <c r="C30" s="251">
        <v>20985500</v>
      </c>
      <c r="D30" s="251">
        <f>+C30*1.2</f>
        <v>25182600</v>
      </c>
      <c r="E30" s="251">
        <v>20985500</v>
      </c>
      <c r="G30" s="25" t="s">
        <v>171</v>
      </c>
      <c r="H30" s="6">
        <v>181890159.31999999</v>
      </c>
      <c r="I30" s="248">
        <v>197942626.69600001</v>
      </c>
      <c r="J30" s="248">
        <v>139782019.31999999</v>
      </c>
    </row>
    <row r="31" spans="1:10" x14ac:dyDescent="0.25">
      <c r="A31" s="9" t="s">
        <v>28</v>
      </c>
      <c r="B31" s="9" t="s">
        <v>171</v>
      </c>
      <c r="C31" s="251">
        <v>40606778</v>
      </c>
      <c r="D31" s="251">
        <f t="shared" ref="D31" si="2">+C31*0.94</f>
        <v>38170371.32</v>
      </c>
      <c r="E31" s="251">
        <v>10606778</v>
      </c>
      <c r="G31" s="26" t="s">
        <v>31</v>
      </c>
      <c r="H31" s="6">
        <v>38170371.32</v>
      </c>
      <c r="I31" s="248">
        <v>68706668.376000002</v>
      </c>
      <c r="J31" s="248">
        <v>38170371.32</v>
      </c>
    </row>
    <row r="32" spans="1:10" x14ac:dyDescent="0.25">
      <c r="A32" s="9" t="s">
        <v>29</v>
      </c>
      <c r="B32" s="9" t="s">
        <v>171</v>
      </c>
      <c r="C32" s="251">
        <v>12108140.000000002</v>
      </c>
      <c r="D32" s="251">
        <v>0</v>
      </c>
      <c r="E32" s="251">
        <v>0</v>
      </c>
      <c r="G32" s="26" t="s">
        <v>28</v>
      </c>
      <c r="H32" s="6">
        <v>40606778</v>
      </c>
      <c r="I32" s="248">
        <v>38170371.32</v>
      </c>
      <c r="J32" s="248">
        <v>10606778</v>
      </c>
    </row>
    <row r="33" spans="1:10" x14ac:dyDescent="0.25">
      <c r="A33" s="9" t="s">
        <v>30</v>
      </c>
      <c r="B33" s="9" t="s">
        <v>171</v>
      </c>
      <c r="C33" s="251">
        <v>19726370</v>
      </c>
      <c r="D33" s="251">
        <f>+C33*1.1</f>
        <v>21699007</v>
      </c>
      <c r="E33" s="251">
        <v>19726370</v>
      </c>
      <c r="G33" s="26" t="s">
        <v>27</v>
      </c>
      <c r="H33" s="6">
        <v>20985500</v>
      </c>
      <c r="I33" s="248">
        <v>25182600</v>
      </c>
      <c r="J33" s="248">
        <v>20985500</v>
      </c>
    </row>
    <row r="34" spans="1:10" x14ac:dyDescent="0.25">
      <c r="A34" s="9" t="s">
        <v>31</v>
      </c>
      <c r="B34" s="9" t="s">
        <v>171</v>
      </c>
      <c r="C34" s="251">
        <v>38170371.32</v>
      </c>
      <c r="D34" s="251">
        <f>+C34*1.8</f>
        <v>68706668.376000002</v>
      </c>
      <c r="E34" s="251">
        <v>38170371.32</v>
      </c>
      <c r="G34" s="26" t="s">
        <v>183</v>
      </c>
      <c r="H34" s="6">
        <v>0</v>
      </c>
      <c r="I34" s="248">
        <v>0</v>
      </c>
      <c r="J34" s="248">
        <v>0</v>
      </c>
    </row>
    <row r="35" spans="1:10" x14ac:dyDescent="0.25">
      <c r="G35" s="26" t="s">
        <v>26</v>
      </c>
      <c r="H35" s="6">
        <v>12881000.000000002</v>
      </c>
      <c r="I35" s="248">
        <v>9016700</v>
      </c>
      <c r="J35" s="248">
        <v>12881000.000000002</v>
      </c>
    </row>
    <row r="36" spans="1:10" x14ac:dyDescent="0.25">
      <c r="G36" s="26" t="s">
        <v>25</v>
      </c>
      <c r="H36" s="6">
        <v>37412000</v>
      </c>
      <c r="I36" s="248">
        <v>35167280</v>
      </c>
      <c r="J36" s="248">
        <v>37412000</v>
      </c>
    </row>
    <row r="37" spans="1:10" x14ac:dyDescent="0.25">
      <c r="G37" s="26" t="s">
        <v>30</v>
      </c>
      <c r="H37" s="6">
        <v>19726370</v>
      </c>
      <c r="I37" s="248">
        <v>21699007</v>
      </c>
      <c r="J37" s="248">
        <v>19726370</v>
      </c>
    </row>
    <row r="38" spans="1:10" x14ac:dyDescent="0.25">
      <c r="G38" s="26" t="s">
        <v>29</v>
      </c>
      <c r="H38" s="6">
        <v>12108140.000000002</v>
      </c>
      <c r="I38" s="248">
        <v>0</v>
      </c>
      <c r="J38" s="248">
        <v>0</v>
      </c>
    </row>
    <row r="39" spans="1:10" x14ac:dyDescent="0.25">
      <c r="G39" s="25" t="s">
        <v>41</v>
      </c>
      <c r="H39" s="6">
        <v>773159386.02129877</v>
      </c>
      <c r="I39" s="248">
        <v>759122040.82327294</v>
      </c>
      <c r="J39" s="248">
        <v>608717629.86545455</v>
      </c>
    </row>
  </sheetData>
  <mergeCells count="1">
    <mergeCell ref="C1:D1"/>
  </mergeCell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H4" sqref="H4"/>
    </sheetView>
  </sheetViews>
  <sheetFormatPr baseColWidth="10" defaultRowHeight="15" x14ac:dyDescent="0.25"/>
  <cols>
    <col min="1" max="1" width="20.85546875" customWidth="1"/>
    <col min="2" max="2" width="16.140625" customWidth="1"/>
    <col min="3" max="3" width="12.140625" customWidth="1"/>
    <col min="4" max="4" width="12.85546875" customWidth="1"/>
    <col min="5" max="5" width="15.140625" bestFit="1" customWidth="1"/>
    <col min="6" max="6" width="10.85546875" customWidth="1"/>
    <col min="7" max="7" width="15.5703125" customWidth="1"/>
    <col min="8" max="8" width="12" customWidth="1"/>
    <col min="9" max="9" width="15.28515625" customWidth="1"/>
  </cols>
  <sheetData>
    <row r="1" spans="1:9" ht="16.5" thickBot="1" x14ac:dyDescent="0.3">
      <c r="B1" s="237" t="s">
        <v>146</v>
      </c>
      <c r="C1" t="s">
        <v>33</v>
      </c>
      <c r="D1" s="260">
        <v>2013</v>
      </c>
      <c r="E1" s="261"/>
      <c r="F1" s="262">
        <v>2014</v>
      </c>
      <c r="G1" s="261"/>
      <c r="H1" s="262">
        <v>2015</v>
      </c>
      <c r="I1" s="261"/>
    </row>
    <row r="2" spans="1:9" ht="59.25" customHeight="1" x14ac:dyDescent="0.25">
      <c r="A2" s="130" t="s">
        <v>0</v>
      </c>
      <c r="B2" s="143" t="s">
        <v>32</v>
      </c>
      <c r="C2" s="143" t="s">
        <v>11</v>
      </c>
      <c r="D2" s="143" t="s">
        <v>219</v>
      </c>
      <c r="E2" s="144" t="s">
        <v>168</v>
      </c>
      <c r="F2" s="143" t="s">
        <v>219</v>
      </c>
      <c r="G2" s="144" t="s">
        <v>168</v>
      </c>
      <c r="H2" s="143" t="s">
        <v>219</v>
      </c>
      <c r="I2" s="144" t="s">
        <v>168</v>
      </c>
    </row>
    <row r="3" spans="1:9" x14ac:dyDescent="0.25">
      <c r="A3" s="10" t="s">
        <v>147</v>
      </c>
      <c r="B3" s="9" t="str">
        <f>LOOKUP('Recursos de Trabajo'!C3,Departamentos!$A$3:$B$10)</f>
        <v>CONTRATOS</v>
      </c>
      <c r="C3" s="18">
        <f>'Recursos de Trabajo'!E3</f>
        <v>80509.090909090912</v>
      </c>
      <c r="D3" s="20">
        <v>100</v>
      </c>
      <c r="E3" s="131">
        <f>+D3*C3</f>
        <v>8050909.0909090908</v>
      </c>
      <c r="F3" s="20">
        <v>90</v>
      </c>
      <c r="G3" s="131">
        <f>F3*$C$3*1.05</f>
        <v>7608109.0909090908</v>
      </c>
      <c r="H3" s="20">
        <v>60</v>
      </c>
      <c r="I3" s="131">
        <f>H3*$C$3*1.05</f>
        <v>5072072.7272727285</v>
      </c>
    </row>
    <row r="4" spans="1:9" x14ac:dyDescent="0.25">
      <c r="A4" s="10" t="s">
        <v>148</v>
      </c>
      <c r="B4" s="9" t="str">
        <f>LOOKUP('Recursos de Trabajo'!C4,Departamentos!$A$3:$B$10)</f>
        <v>CONTABILIDAD</v>
      </c>
      <c r="C4" s="18">
        <f>'Recursos de Trabajo'!E4</f>
        <v>150545.45454545456</v>
      </c>
      <c r="D4" s="21">
        <v>120</v>
      </c>
      <c r="E4" s="131">
        <f>+D4*C4</f>
        <v>18065454.545454547</v>
      </c>
      <c r="F4" s="21">
        <v>80</v>
      </c>
      <c r="G4" s="131">
        <f t="shared" ref="G4:G16" si="0">F4*$C$3*1.05</f>
        <v>6762763.6363636376</v>
      </c>
      <c r="H4" s="21">
        <v>30</v>
      </c>
      <c r="I4" s="131">
        <f t="shared" ref="I4:I16" si="1">H4*$C$3*1.05</f>
        <v>2536036.3636363642</v>
      </c>
    </row>
    <row r="5" spans="1:9" x14ac:dyDescent="0.25">
      <c r="A5" s="10" t="s">
        <v>159</v>
      </c>
      <c r="B5" s="9" t="str">
        <f>LOOKUP('Recursos de Trabajo'!C5,Departamentos!$A$3:$B$10)</f>
        <v>COMERCIO</v>
      </c>
      <c r="C5" s="18">
        <f>'Recursos de Trabajo'!E5</f>
        <v>61265.454545454544</v>
      </c>
      <c r="D5" s="21">
        <v>0</v>
      </c>
      <c r="E5" s="131">
        <f t="shared" ref="E5:E16" si="2">+D5*C5</f>
        <v>0</v>
      </c>
      <c r="F5" s="20">
        <v>340</v>
      </c>
      <c r="G5" s="131">
        <f t="shared" si="0"/>
        <v>28741745.454545457</v>
      </c>
      <c r="H5" s="20">
        <v>20</v>
      </c>
      <c r="I5" s="131">
        <f t="shared" si="1"/>
        <v>1690690.9090909094</v>
      </c>
    </row>
    <row r="6" spans="1:9" x14ac:dyDescent="0.25">
      <c r="A6" s="10" t="s">
        <v>149</v>
      </c>
      <c r="B6" s="9" t="str">
        <f>LOOKUP('Recursos de Trabajo'!C6,Departamentos!$A$3:$B$10)</f>
        <v>RRHH</v>
      </c>
      <c r="C6" s="18">
        <f>'Recursos de Trabajo'!E6</f>
        <v>10505.454545454546</v>
      </c>
      <c r="D6" s="21">
        <v>85</v>
      </c>
      <c r="E6" s="131">
        <f t="shared" si="2"/>
        <v>892963.63636363635</v>
      </c>
      <c r="F6" s="21">
        <v>125</v>
      </c>
      <c r="G6" s="131">
        <f t="shared" si="0"/>
        <v>10566818.181818182</v>
      </c>
      <c r="H6" s="21">
        <v>125</v>
      </c>
      <c r="I6" s="131">
        <f t="shared" si="1"/>
        <v>10566818.181818182</v>
      </c>
    </row>
    <row r="7" spans="1:9" x14ac:dyDescent="0.25">
      <c r="A7" s="10" t="s">
        <v>150</v>
      </c>
      <c r="B7" s="9" t="str">
        <f>LOOKUP('Recursos de Trabajo'!C7,Departamentos!$A$3:$B$10)</f>
        <v>SEGURIDAD</v>
      </c>
      <c r="C7" s="18">
        <f>'Recursos de Trabajo'!E7</f>
        <v>31516.363636363636</v>
      </c>
      <c r="D7" s="21">
        <v>125</v>
      </c>
      <c r="E7" s="131">
        <f t="shared" si="2"/>
        <v>3939545.4545454546</v>
      </c>
      <c r="F7" s="20">
        <v>12</v>
      </c>
      <c r="G7" s="131">
        <f t="shared" si="0"/>
        <v>1014414.5454545455</v>
      </c>
      <c r="H7" s="20">
        <v>12</v>
      </c>
      <c r="I7" s="131">
        <f t="shared" si="1"/>
        <v>1014414.5454545455</v>
      </c>
    </row>
    <row r="8" spans="1:9" x14ac:dyDescent="0.25">
      <c r="A8" s="10" t="s">
        <v>151</v>
      </c>
      <c r="B8" s="9" t="str">
        <f>LOOKUP('Recursos de Trabajo'!C8,Departamentos!$A$3:$B$10)</f>
        <v>COMERCIO</v>
      </c>
      <c r="C8" s="18">
        <f>'Recursos de Trabajo'!E8</f>
        <v>88363.636363636368</v>
      </c>
      <c r="D8" s="21">
        <v>29</v>
      </c>
      <c r="E8" s="131">
        <f t="shared" si="2"/>
        <v>2562545.4545454546</v>
      </c>
      <c r="F8" s="21">
        <v>16</v>
      </c>
      <c r="G8" s="131">
        <f t="shared" si="0"/>
        <v>1352552.7272727273</v>
      </c>
      <c r="H8" s="21">
        <v>16</v>
      </c>
      <c r="I8" s="131">
        <f t="shared" si="1"/>
        <v>1352552.7272727273</v>
      </c>
    </row>
    <row r="9" spans="1:9" x14ac:dyDescent="0.25">
      <c r="A9" s="10" t="s">
        <v>152</v>
      </c>
      <c r="B9" s="9" t="str">
        <f>LOOKUP('Recursos de Trabajo'!C9,Departamentos!$A$3:$B$10)</f>
        <v>SISTEMAS</v>
      </c>
      <c r="C9" s="18">
        <f>'Recursos de Trabajo'!E9</f>
        <v>34551.272727272699</v>
      </c>
      <c r="D9" s="21">
        <v>0</v>
      </c>
      <c r="E9" s="131">
        <f t="shared" si="2"/>
        <v>0</v>
      </c>
      <c r="F9" s="20">
        <v>45</v>
      </c>
      <c r="G9" s="131">
        <f t="shared" si="0"/>
        <v>3804054.5454545454</v>
      </c>
      <c r="H9" s="20">
        <v>30</v>
      </c>
      <c r="I9" s="131">
        <f t="shared" si="1"/>
        <v>2536036.3636363642</v>
      </c>
    </row>
    <row r="10" spans="1:9" x14ac:dyDescent="0.25">
      <c r="A10" s="10" t="s">
        <v>153</v>
      </c>
      <c r="B10" s="9" t="str">
        <f>LOOKUP('Recursos de Trabajo'!C10,Departamentos!$A$3:$B$10)</f>
        <v>PROYECTOS</v>
      </c>
      <c r="C10" s="18">
        <f>'Recursos de Trabajo'!E10</f>
        <v>23145.350649350617</v>
      </c>
      <c r="D10" s="21">
        <v>144</v>
      </c>
      <c r="E10" s="131">
        <f t="shared" si="2"/>
        <v>3332930.4935064889</v>
      </c>
      <c r="F10" s="21">
        <v>0</v>
      </c>
      <c r="G10" s="131">
        <f t="shared" si="0"/>
        <v>0</v>
      </c>
      <c r="H10" s="21">
        <v>0</v>
      </c>
      <c r="I10" s="131">
        <f t="shared" si="1"/>
        <v>0</v>
      </c>
    </row>
    <row r="11" spans="1:9" x14ac:dyDescent="0.25">
      <c r="A11" s="10" t="s">
        <v>158</v>
      </c>
      <c r="B11" s="9" t="str">
        <f>LOOKUP('Recursos de Trabajo'!C11,Departamentos!$A$3:$B$10)</f>
        <v>CONTRATOS</v>
      </c>
      <c r="C11" s="18">
        <f>'Recursos de Trabajo'!E11</f>
        <v>11739.428571428736</v>
      </c>
      <c r="D11" s="21">
        <v>90</v>
      </c>
      <c r="E11" s="131">
        <f t="shared" si="2"/>
        <v>1056548.5714285863</v>
      </c>
      <c r="F11" s="20">
        <v>45</v>
      </c>
      <c r="G11" s="131">
        <f t="shared" si="0"/>
        <v>3804054.5454545454</v>
      </c>
      <c r="H11" s="20">
        <v>45</v>
      </c>
      <c r="I11" s="131">
        <f t="shared" si="1"/>
        <v>3804054.5454545454</v>
      </c>
    </row>
    <row r="12" spans="1:9" x14ac:dyDescent="0.25">
      <c r="A12" s="10" t="s">
        <v>157</v>
      </c>
      <c r="B12" s="9" t="str">
        <f>LOOKUP('Recursos de Trabajo'!C12,Departamentos!$A$3:$B$10)</f>
        <v>SISTEMAS</v>
      </c>
      <c r="C12" s="18">
        <f>'Recursos de Trabajo'!E12</f>
        <v>48255.054545454543</v>
      </c>
      <c r="D12" s="21">
        <v>0</v>
      </c>
      <c r="E12" s="131">
        <f t="shared" si="2"/>
        <v>0</v>
      </c>
      <c r="F12" s="21">
        <v>50</v>
      </c>
      <c r="G12" s="131">
        <f t="shared" si="0"/>
        <v>4226727.2727272725</v>
      </c>
      <c r="H12" s="21">
        <v>50</v>
      </c>
      <c r="I12" s="131">
        <f t="shared" si="1"/>
        <v>4226727.2727272725</v>
      </c>
    </row>
    <row r="13" spans="1:9" x14ac:dyDescent="0.25">
      <c r="A13" s="10" t="s">
        <v>156</v>
      </c>
      <c r="B13" s="9" t="str">
        <f>LOOKUP('Recursos de Trabajo'!C13,Departamentos!$A$3:$B$10)</f>
        <v>CONTABILIDAD</v>
      </c>
      <c r="C13" s="18">
        <f>'Recursos de Trabajo'!E13</f>
        <v>87709.090909090912</v>
      </c>
      <c r="D13" s="21">
        <v>50</v>
      </c>
      <c r="E13" s="131">
        <f t="shared" si="2"/>
        <v>4385454.5454545459</v>
      </c>
      <c r="F13" s="20">
        <v>42</v>
      </c>
      <c r="G13" s="131">
        <f t="shared" si="0"/>
        <v>3550450.9090909096</v>
      </c>
      <c r="H13" s="20">
        <v>54</v>
      </c>
      <c r="I13" s="131">
        <f t="shared" si="1"/>
        <v>4564865.4545454551</v>
      </c>
    </row>
    <row r="14" spans="1:9" x14ac:dyDescent="0.25">
      <c r="A14" s="10" t="s">
        <v>160</v>
      </c>
      <c r="B14" s="9" t="str">
        <f>LOOKUP('Recursos de Trabajo'!C14,Departamentos!$A$3:$B$10)</f>
        <v>RRHH</v>
      </c>
      <c r="C14" s="18">
        <f>'Recursos de Trabajo'!E14</f>
        <v>53709.381818181813</v>
      </c>
      <c r="D14" s="21">
        <v>85</v>
      </c>
      <c r="E14" s="131">
        <f t="shared" si="2"/>
        <v>4565297.4545454541</v>
      </c>
      <c r="F14" s="21">
        <v>0</v>
      </c>
      <c r="G14" s="131">
        <f t="shared" si="0"/>
        <v>0</v>
      </c>
      <c r="H14" s="21">
        <v>0</v>
      </c>
      <c r="I14" s="131">
        <f t="shared" si="1"/>
        <v>0</v>
      </c>
    </row>
    <row r="15" spans="1:9" x14ac:dyDescent="0.25">
      <c r="A15" s="10" t="s">
        <v>154</v>
      </c>
      <c r="B15" s="9" t="str">
        <f>LOOKUP('Recursos de Trabajo'!C15,Departamentos!$A$3:$B$10)</f>
        <v>CONTABILIDAD</v>
      </c>
      <c r="C15" s="18">
        <f>'Recursos de Trabajo'!E15</f>
        <v>229090.90909090909</v>
      </c>
      <c r="D15" s="21">
        <v>39</v>
      </c>
      <c r="E15" s="131">
        <f t="shared" si="2"/>
        <v>8934545.4545454551</v>
      </c>
      <c r="F15" s="20">
        <v>0</v>
      </c>
      <c r="G15" s="131">
        <f t="shared" si="0"/>
        <v>0</v>
      </c>
      <c r="H15" s="20">
        <v>0</v>
      </c>
      <c r="I15" s="131">
        <f t="shared" si="1"/>
        <v>0</v>
      </c>
    </row>
    <row r="16" spans="1:9" x14ac:dyDescent="0.25">
      <c r="A16" s="10" t="s">
        <v>155</v>
      </c>
      <c r="B16" s="9" t="str">
        <f>LOOKUP('Recursos de Trabajo'!C16,Departamentos!$A$3:$B$10)</f>
        <v>CALIDAD</v>
      </c>
      <c r="C16" s="18">
        <f>'Recursos de Trabajo'!E16</f>
        <v>423229.09090909088</v>
      </c>
      <c r="D16" s="21">
        <v>0</v>
      </c>
      <c r="E16" s="131">
        <f t="shared" si="2"/>
        <v>0</v>
      </c>
      <c r="F16" s="21">
        <v>150</v>
      </c>
      <c r="G16" s="131">
        <f t="shared" si="0"/>
        <v>12680181.818181818</v>
      </c>
      <c r="H16" s="21">
        <v>90</v>
      </c>
      <c r="I16" s="131">
        <f t="shared" si="1"/>
        <v>7608109.0909090908</v>
      </c>
    </row>
    <row r="17" spans="1:9" ht="15.75" thickBot="1" x14ac:dyDescent="0.3">
      <c r="A17" s="132"/>
      <c r="B17" s="133" t="s">
        <v>35</v>
      </c>
      <c r="C17" s="133"/>
      <c r="D17" s="134">
        <f>SUM(D3:D16)</f>
        <v>867</v>
      </c>
      <c r="E17" s="135">
        <f>SUM(E3:E16)</f>
        <v>55786194.701298714</v>
      </c>
      <c r="F17" s="134">
        <f>SUM(F3:F16)</f>
        <v>995</v>
      </c>
      <c r="G17" s="135"/>
      <c r="H17" s="134">
        <f>SUM(H3:H16)</f>
        <v>532</v>
      </c>
      <c r="I17" s="135">
        <f>SUM(I3:I16)</f>
        <v>44972378.181818187</v>
      </c>
    </row>
    <row r="18" spans="1:9" x14ac:dyDescent="0.25">
      <c r="A18" s="8"/>
    </row>
  </sheetData>
  <mergeCells count="3"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1" zoomScaleNormal="100" workbookViewId="0">
      <selection activeCell="D30" sqref="D30"/>
    </sheetView>
  </sheetViews>
  <sheetFormatPr baseColWidth="10" defaultRowHeight="15" x14ac:dyDescent="0.2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 x14ac:dyDescent="0.25">
      <c r="C1" s="38" t="s">
        <v>169</v>
      </c>
      <c r="E1" t="s">
        <v>125</v>
      </c>
      <c r="F1" s="3">
        <f ca="1">TODAY()</f>
        <v>41584</v>
      </c>
    </row>
    <row r="2" spans="1:14" ht="15.75" thickBot="1" x14ac:dyDescent="0.3">
      <c r="A2" s="190" t="s">
        <v>92</v>
      </c>
      <c r="B2" s="36" t="s">
        <v>44</v>
      </c>
      <c r="C2" s="36" t="s">
        <v>43</v>
      </c>
      <c r="D2" s="36" t="s">
        <v>45</v>
      </c>
      <c r="E2" s="36" t="s">
        <v>46</v>
      </c>
      <c r="F2" s="36" t="s">
        <v>47</v>
      </c>
      <c r="G2" s="36" t="s">
        <v>48</v>
      </c>
      <c r="H2" s="36" t="s">
        <v>49</v>
      </c>
      <c r="I2" s="36" t="s">
        <v>50</v>
      </c>
      <c r="J2" s="36" t="s">
        <v>51</v>
      </c>
      <c r="K2" s="186"/>
      <c r="L2" s="186"/>
      <c r="M2" s="7"/>
      <c r="N2" s="7"/>
    </row>
    <row r="3" spans="1:14" ht="15.75" thickBot="1" x14ac:dyDescent="0.3">
      <c r="A3" s="36" t="s">
        <v>77</v>
      </c>
      <c r="B3" s="36">
        <v>0</v>
      </c>
      <c r="C3" s="36">
        <v>14900000</v>
      </c>
      <c r="D3" s="36">
        <v>26200000</v>
      </c>
      <c r="E3" s="36">
        <v>38500000</v>
      </c>
      <c r="F3" s="36">
        <f>E3*1.45</f>
        <v>55825000</v>
      </c>
      <c r="G3" s="36">
        <v>50800000</v>
      </c>
      <c r="H3" s="36">
        <v>63100000</v>
      </c>
      <c r="I3" s="36">
        <f t="shared" ref="I3" si="0">H3*1.45</f>
        <v>91495000</v>
      </c>
      <c r="J3" s="36">
        <v>75400000</v>
      </c>
      <c r="K3" s="184"/>
      <c r="L3" s="184"/>
    </row>
    <row r="4" spans="1:14" x14ac:dyDescent="0.25">
      <c r="A4" s="40" t="s">
        <v>78</v>
      </c>
      <c r="B4" s="34"/>
      <c r="C4" s="34"/>
      <c r="D4" s="34"/>
      <c r="E4" s="34"/>
      <c r="F4" s="34"/>
      <c r="G4" s="34"/>
      <c r="H4" s="34"/>
      <c r="I4" s="34"/>
      <c r="J4" s="179"/>
      <c r="K4" s="34"/>
      <c r="L4" s="34"/>
    </row>
    <row r="5" spans="1:14" x14ac:dyDescent="0.25">
      <c r="A5" s="41" t="s">
        <v>79</v>
      </c>
      <c r="B5" s="6">
        <v>45737061</v>
      </c>
      <c r="C5" s="6">
        <f>+B5*1.05</f>
        <v>48023914.050000004</v>
      </c>
      <c r="D5" s="6">
        <f>+C5*0.95</f>
        <v>45622718.347500004</v>
      </c>
      <c r="E5" s="6">
        <f>+D5*0.9</f>
        <v>41060446.512750007</v>
      </c>
      <c r="F5" s="6">
        <f>+E5*0.4</f>
        <v>16424178.605100004</v>
      </c>
      <c r="G5" s="6">
        <f>+F5*1.08</f>
        <v>17738112.893508006</v>
      </c>
      <c r="H5" s="6">
        <f>+G5*0.95</f>
        <v>16851207.248832606</v>
      </c>
      <c r="I5" s="6">
        <f>+H5*0.9</f>
        <v>15166086.523949346</v>
      </c>
      <c r="J5" s="180">
        <f>+I5*0.4</f>
        <v>6066434.6095797382</v>
      </c>
      <c r="K5" s="6"/>
      <c r="L5" s="6"/>
    </row>
    <row r="6" spans="1:14" x14ac:dyDescent="0.25">
      <c r="A6" s="41" t="s">
        <v>80</v>
      </c>
      <c r="B6" s="6">
        <v>1350000</v>
      </c>
      <c r="C6" s="6">
        <v>1500000</v>
      </c>
      <c r="D6" s="6">
        <v>2200000</v>
      </c>
      <c r="E6" s="6">
        <v>2000000</v>
      </c>
      <c r="F6" s="6">
        <v>2100000</v>
      </c>
      <c r="G6" s="6">
        <v>1800000</v>
      </c>
      <c r="H6" s="6">
        <v>1766666.66666667</v>
      </c>
      <c r="I6" s="6">
        <v>1666666.66666667</v>
      </c>
      <c r="J6" s="181">
        <v>1566666.66666667</v>
      </c>
      <c r="K6" s="181"/>
      <c r="L6" s="181"/>
    </row>
    <row r="7" spans="1:14" x14ac:dyDescent="0.25">
      <c r="A7" s="41" t="s">
        <v>81</v>
      </c>
      <c r="B7" s="6">
        <v>5850000</v>
      </c>
      <c r="C7" s="6">
        <v>4700000</v>
      </c>
      <c r="D7" s="6">
        <f>C7*1.1</f>
        <v>5170000</v>
      </c>
      <c r="E7" s="6">
        <f>D7*0.2</f>
        <v>1034000</v>
      </c>
      <c r="F7" s="6">
        <f>E7*0.4</f>
        <v>413600</v>
      </c>
      <c r="G7" s="6">
        <v>0</v>
      </c>
      <c r="H7" s="6">
        <v>0</v>
      </c>
      <c r="I7" s="6">
        <v>0</v>
      </c>
      <c r="J7" s="181">
        <v>0</v>
      </c>
      <c r="K7" s="181"/>
      <c r="L7" s="181"/>
    </row>
    <row r="8" spans="1:14" x14ac:dyDescent="0.25">
      <c r="A8" s="41" t="s">
        <v>82</v>
      </c>
      <c r="B8" s="35">
        <v>0</v>
      </c>
      <c r="C8" s="35">
        <f>-IPMT(Financistas!$C$3,1,Financistas!$D$3,$B$3)</f>
        <v>0</v>
      </c>
      <c r="D8" s="35">
        <f>-IPMT(Financistas!$C$3,3,Financistas!$D$3,$B$3)</f>
        <v>0</v>
      </c>
      <c r="E8" s="35">
        <f>-IPMT(Financistas!$C$3,2,Financistas!$D$3,$B$3)</f>
        <v>0</v>
      </c>
      <c r="F8" s="35">
        <f>-IPMT(Financistas!$C$3,3,Financistas!$D$3,$B$3)</f>
        <v>0</v>
      </c>
      <c r="G8" s="35">
        <f>-IPMT(Financistas!$C$3,5,Financistas!$D$3,$B$3)</f>
        <v>0</v>
      </c>
      <c r="H8" s="35">
        <f>-IPMT(Financistas!$C$3,6,Financistas!$D$3,$B$3)</f>
        <v>0</v>
      </c>
      <c r="I8" s="35">
        <f>-IPMT(Financistas!$C$3,7,Financistas!$D$3,$B$3)</f>
        <v>0</v>
      </c>
      <c r="J8" s="182">
        <f>-IPMT(Financistas!$C$3,8,Financistas!$D$3,$B$3)</f>
        <v>0</v>
      </c>
      <c r="K8" s="182"/>
      <c r="L8" s="182"/>
    </row>
    <row r="9" spans="1:14" ht="15.75" thickBot="1" x14ac:dyDescent="0.3">
      <c r="A9" s="198" t="s">
        <v>83</v>
      </c>
      <c r="B9" s="36">
        <f>SUM(B5:B8)</f>
        <v>52937061</v>
      </c>
      <c r="C9" s="36">
        <f t="shared" ref="C9:J9" si="1">SUM(C5:C8)</f>
        <v>54223914.050000004</v>
      </c>
      <c r="D9" s="36">
        <f t="shared" si="1"/>
        <v>52992718.347500004</v>
      </c>
      <c r="E9" s="36">
        <f t="shared" si="1"/>
        <v>44094446.512750007</v>
      </c>
      <c r="F9" s="36">
        <f t="shared" si="1"/>
        <v>18937778.605100006</v>
      </c>
      <c r="G9" s="36">
        <f t="shared" si="1"/>
        <v>19538112.893508006</v>
      </c>
      <c r="H9" s="36">
        <f t="shared" si="1"/>
        <v>18617873.915499277</v>
      </c>
      <c r="I9" s="36">
        <f t="shared" si="1"/>
        <v>16832753.190616015</v>
      </c>
      <c r="J9" s="36">
        <f t="shared" si="1"/>
        <v>7633101.276246408</v>
      </c>
      <c r="K9" s="184"/>
      <c r="L9" s="184"/>
    </row>
    <row r="10" spans="1:14" ht="15.75" thickBot="1" x14ac:dyDescent="0.3">
      <c r="A10" s="199" t="s">
        <v>1</v>
      </c>
      <c r="B10" s="36">
        <f>B3-B9</f>
        <v>-52937061</v>
      </c>
      <c r="C10" s="36">
        <f t="shared" ref="C10:J10" si="2">C3-C9</f>
        <v>-39323914.050000004</v>
      </c>
      <c r="D10" s="36">
        <f t="shared" si="2"/>
        <v>-26792718.347500004</v>
      </c>
      <c r="E10" s="36">
        <f t="shared" si="2"/>
        <v>-5594446.5127500072</v>
      </c>
      <c r="F10" s="36">
        <f t="shared" si="2"/>
        <v>36887221.394899994</v>
      </c>
      <c r="G10" s="36">
        <f t="shared" si="2"/>
        <v>31261887.106491994</v>
      </c>
      <c r="H10" s="36">
        <f t="shared" si="2"/>
        <v>44482126.084500723</v>
      </c>
      <c r="I10" s="36">
        <f t="shared" si="2"/>
        <v>74662246.809383988</v>
      </c>
      <c r="J10" s="36">
        <f t="shared" si="2"/>
        <v>67766898.723753586</v>
      </c>
      <c r="K10" s="184"/>
      <c r="L10" s="184"/>
    </row>
    <row r="11" spans="1:14" ht="27" customHeight="1" x14ac:dyDescent="0.25">
      <c r="A11" s="145" t="s">
        <v>85</v>
      </c>
      <c r="B11" s="7"/>
      <c r="C11" s="6">
        <f>SLN(B12,0,8)</f>
        <v>0</v>
      </c>
      <c r="D11" s="6">
        <f t="shared" ref="D11:J11" si="3">SLN($B$12,0,8)+C11</f>
        <v>0</v>
      </c>
      <c r="E11" s="6">
        <f t="shared" si="3"/>
        <v>0</v>
      </c>
      <c r="F11" s="6">
        <f t="shared" si="3"/>
        <v>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181">
        <f t="shared" si="3"/>
        <v>0</v>
      </c>
      <c r="K11" s="181"/>
      <c r="L11" s="181"/>
      <c r="M11" s="27"/>
      <c r="N11" s="27"/>
    </row>
    <row r="12" spans="1:14" x14ac:dyDescent="0.25">
      <c r="A12" t="s">
        <v>84</v>
      </c>
      <c r="B12" s="37">
        <f>Equipos!$C$16</f>
        <v>0</v>
      </c>
      <c r="C12" s="7"/>
      <c r="D12" s="7"/>
      <c r="E12" s="7"/>
      <c r="F12" s="7"/>
      <c r="J12" s="119"/>
      <c r="K12" s="119"/>
      <c r="L12" s="119"/>
    </row>
    <row r="13" spans="1:14" ht="15.75" thickBot="1" x14ac:dyDescent="0.3">
      <c r="A13" t="s">
        <v>86</v>
      </c>
      <c r="B13" s="2">
        <v>0.09</v>
      </c>
      <c r="C13" s="2">
        <v>0.12</v>
      </c>
      <c r="D13" s="2">
        <v>0.16</v>
      </c>
      <c r="E13" s="7"/>
      <c r="F13" s="7"/>
      <c r="I13" s="8"/>
      <c r="J13" s="119"/>
      <c r="K13" s="119"/>
      <c r="L13" s="119"/>
    </row>
    <row r="14" spans="1:14" x14ac:dyDescent="0.25">
      <c r="A14" s="191" t="s">
        <v>87</v>
      </c>
      <c r="B14" s="192">
        <f>NPV(B13,$C$10:$J$10)+$B$10</f>
        <v>31941004.248633161</v>
      </c>
      <c r="C14" s="192">
        <f>NPV(C13,$C$10:$J$10)+$B$10</f>
        <v>11471976.240560614</v>
      </c>
      <c r="D14" s="193">
        <f>NPV(D13,$C$10:$J$10)+$B$10</f>
        <v>-9730109.9037823752</v>
      </c>
      <c r="E14" s="7"/>
      <c r="F14" s="7"/>
      <c r="I14" s="8"/>
      <c r="J14" s="119"/>
      <c r="K14" s="119"/>
      <c r="L14" s="119"/>
    </row>
    <row r="15" spans="1:14" ht="16.5" thickBot="1" x14ac:dyDescent="0.3">
      <c r="A15" s="194" t="s">
        <v>2</v>
      </c>
      <c r="B15" s="195"/>
      <c r="C15" s="196">
        <f>IRR($B$10:$L$10)</f>
        <v>0.1402127835157343</v>
      </c>
      <c r="D15" s="197"/>
      <c r="E15" s="7"/>
      <c r="F15" s="7"/>
      <c r="J15" s="119"/>
      <c r="K15" s="119"/>
      <c r="L15" s="119"/>
    </row>
    <row r="16" spans="1:14" x14ac:dyDescent="0.25">
      <c r="A16" s="40" t="s">
        <v>209</v>
      </c>
      <c r="B16" s="200">
        <f>IF(B9=0,"",(B3-B9)/B9)</f>
        <v>-1</v>
      </c>
      <c r="C16" s="200">
        <f>IF(SUM($B$9:C9)&lt;&gt;0,(SUM($B$3:C3)-SUM($B$9:C9))/((SUM($B$9:C9))),0)</f>
        <v>-0.8609568455956299</v>
      </c>
      <c r="D16" s="200">
        <f>IF(SUM($B$9:D9)&lt;&gt;0,(SUM($B$3:D3)-SUM($B$9:D9))/((SUM($B$9:D9))),0)</f>
        <v>-0.74337151315024519</v>
      </c>
      <c r="E16" s="200">
        <f>IF(SUM($B$9:E9)&lt;&gt;0,(SUM($B$3:E3)-SUM($B$9:E9))/((SUM($B$9:E9))),0)</f>
        <v>-0.61027796857793881</v>
      </c>
      <c r="F16" s="200">
        <f>IF(SUM($B$9:F9)&lt;&gt;0,(SUM($B$3:F3)-SUM($B$9:F9))/((SUM($B$9:F9))),0)</f>
        <v>-0.39321888719119213</v>
      </c>
      <c r="G16" s="200">
        <f>IF(SUM($B$9:G9)&lt;&gt;0,(SUM($B$3:G3)-SUM($B$9:G9))/((SUM($B$9:G9))),0)</f>
        <v>-0.23277065349037435</v>
      </c>
      <c r="H16" s="200">
        <f>IF(SUM($B$9:H9)&lt;&gt;0,(SUM($B$3:H3)-SUM($B$9:H9))/((SUM($B$9:H9))),0)</f>
        <v>-4.598154784799189E-2</v>
      </c>
      <c r="I16" s="200">
        <f>IF(SUM($B$9:I9)&lt;&gt;0,(SUM($B$3:I3)-SUM($B$9:I9))/((SUM($B$9:I9))),0)</f>
        <v>0.22520146809726249</v>
      </c>
      <c r="J16" s="201">
        <f>IF(SUM($B$9:J9)&lt;&gt;0,(SUM($B$3:J3)-SUM($B$9:J9))/((SUM($B$9:J9))),0)</f>
        <v>0.45629356006304833</v>
      </c>
      <c r="K16" s="185"/>
      <c r="L16" s="185"/>
      <c r="M16" s="7"/>
    </row>
    <row r="17" spans="1:13" x14ac:dyDescent="0.25">
      <c r="A17" s="20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"/>
    </row>
    <row r="18" spans="1:13" x14ac:dyDescent="0.25">
      <c r="A18" s="202" t="s">
        <v>93</v>
      </c>
      <c r="B18" s="203"/>
      <c r="C18" s="203" t="s">
        <v>43</v>
      </c>
      <c r="D18" s="203" t="s">
        <v>45</v>
      </c>
      <c r="E18" s="208" t="s">
        <v>46</v>
      </c>
      <c r="F18" s="203" t="s">
        <v>47</v>
      </c>
      <c r="G18" s="210"/>
      <c r="H18" s="210"/>
      <c r="I18" s="210"/>
      <c r="J18" s="210"/>
      <c r="K18" s="186"/>
      <c r="L18" s="186"/>
    </row>
    <row r="19" spans="1:13" ht="15.75" thickBot="1" x14ac:dyDescent="0.3">
      <c r="A19" s="189" t="s">
        <v>210</v>
      </c>
      <c r="B19" s="188">
        <v>9000000</v>
      </c>
      <c r="C19" s="188">
        <v>18500000</v>
      </c>
      <c r="D19" s="188">
        <v>29800000</v>
      </c>
      <c r="E19" s="209">
        <v>34500000</v>
      </c>
      <c r="F19" s="188">
        <v>43600000</v>
      </c>
      <c r="G19" s="210"/>
      <c r="H19" s="210"/>
      <c r="I19" s="210"/>
      <c r="J19" s="210"/>
      <c r="K19" s="187"/>
      <c r="L19" s="187"/>
    </row>
    <row r="20" spans="1:13" x14ac:dyDescent="0.25">
      <c r="A20" s="40" t="s">
        <v>78</v>
      </c>
      <c r="B20" s="34"/>
      <c r="C20" s="34"/>
      <c r="D20" s="34"/>
      <c r="E20" s="34"/>
      <c r="F20" s="34"/>
      <c r="G20" s="34"/>
      <c r="H20" s="34"/>
      <c r="I20" s="34"/>
      <c r="J20" s="183"/>
      <c r="K20" s="183"/>
      <c r="L20" s="183"/>
    </row>
    <row r="21" spans="1:13" x14ac:dyDescent="0.25">
      <c r="A21" s="41" t="s">
        <v>79</v>
      </c>
      <c r="B21" s="6">
        <v>32500000</v>
      </c>
      <c r="C21" s="6">
        <v>37600000</v>
      </c>
      <c r="D21" s="6">
        <v>43200000</v>
      </c>
      <c r="E21" s="6">
        <v>48466666.666666701</v>
      </c>
      <c r="F21" s="6">
        <v>53955555.555555597</v>
      </c>
      <c r="G21" s="6"/>
      <c r="H21" s="6"/>
      <c r="I21" s="6"/>
      <c r="J21" s="181"/>
      <c r="K21" s="181"/>
      <c r="L21" s="181"/>
    </row>
    <row r="22" spans="1:13" x14ac:dyDescent="0.25">
      <c r="A22" s="41" t="s">
        <v>80</v>
      </c>
      <c r="B22" s="6">
        <v>1350000</v>
      </c>
      <c r="C22" s="6">
        <v>1340000</v>
      </c>
      <c r="D22" s="6">
        <v>2500000</v>
      </c>
      <c r="E22" s="6">
        <v>3000000</v>
      </c>
      <c r="F22" s="6">
        <v>1500000</v>
      </c>
      <c r="G22" s="6"/>
      <c r="H22" s="6"/>
      <c r="I22" s="6"/>
      <c r="J22" s="181"/>
      <c r="K22" s="181"/>
      <c r="L22" s="181"/>
    </row>
    <row r="23" spans="1:13" x14ac:dyDescent="0.25">
      <c r="A23" s="41" t="s">
        <v>81</v>
      </c>
      <c r="B23" s="6">
        <v>8500000</v>
      </c>
      <c r="C23" s="6">
        <v>9000000</v>
      </c>
      <c r="D23" s="6">
        <v>2500000</v>
      </c>
      <c r="E23" s="6">
        <v>2000000</v>
      </c>
      <c r="F23" s="6">
        <v>450000</v>
      </c>
      <c r="G23" s="6"/>
      <c r="H23" s="6"/>
      <c r="I23" s="6"/>
      <c r="J23" s="181"/>
      <c r="K23" s="181"/>
      <c r="L23" s="181"/>
    </row>
    <row r="24" spans="1:13" x14ac:dyDescent="0.25">
      <c r="A24" s="41" t="s">
        <v>82</v>
      </c>
      <c r="B24" s="35">
        <v>0</v>
      </c>
      <c r="C24" s="35">
        <f>-IPMT(Financistas!$C$3,1,Financistas!$D$3,$B$3)</f>
        <v>0</v>
      </c>
      <c r="D24" s="35">
        <f>-IPMT(Financistas!$C$3,3,Financistas!$D$3,$B$3)</f>
        <v>0</v>
      </c>
      <c r="E24" s="35">
        <f>-IPMT(Financistas!$C$3,2,Financistas!$D$3,$B$3)</f>
        <v>0</v>
      </c>
      <c r="F24" s="35">
        <v>0</v>
      </c>
      <c r="G24" s="35"/>
      <c r="H24" s="35"/>
      <c r="I24" s="35"/>
      <c r="J24" s="182"/>
      <c r="K24" s="182"/>
      <c r="L24" s="182"/>
    </row>
    <row r="25" spans="1:13" x14ac:dyDescent="0.25">
      <c r="A25" s="206" t="s">
        <v>211</v>
      </c>
      <c r="B25" s="205">
        <f>SUM(B21:B24)</f>
        <v>42350000</v>
      </c>
      <c r="C25" s="205">
        <f t="shared" ref="C25:F25" si="4">SUM(C21:C24)</f>
        <v>47940000</v>
      </c>
      <c r="D25" s="205">
        <f t="shared" si="4"/>
        <v>48200000</v>
      </c>
      <c r="E25" s="205">
        <f t="shared" si="4"/>
        <v>53466666.666666701</v>
      </c>
      <c r="F25" s="205">
        <f t="shared" si="4"/>
        <v>55905555.555555597</v>
      </c>
      <c r="G25" s="210"/>
      <c r="H25" s="210"/>
      <c r="I25" s="210"/>
      <c r="J25" s="210"/>
      <c r="K25" s="184"/>
      <c r="L25" s="184"/>
    </row>
    <row r="26" spans="1:13" ht="15.75" thickBot="1" x14ac:dyDescent="0.3">
      <c r="A26" s="207" t="s">
        <v>1</v>
      </c>
      <c r="B26" s="205">
        <f>B19-B25</f>
        <v>-33350000</v>
      </c>
      <c r="C26" s="205">
        <f t="shared" ref="C26:F26" si="5">C19-C25</f>
        <v>-29440000</v>
      </c>
      <c r="D26" s="205">
        <f t="shared" si="5"/>
        <v>-18400000</v>
      </c>
      <c r="E26" s="205">
        <f t="shared" si="5"/>
        <v>-18966666.666666701</v>
      </c>
      <c r="F26" s="205">
        <f t="shared" si="5"/>
        <v>-12305555.555555597</v>
      </c>
      <c r="G26" s="210"/>
      <c r="H26" s="210"/>
      <c r="I26" s="210"/>
      <c r="J26" s="210"/>
      <c r="K26" s="184"/>
      <c r="L26" s="184"/>
    </row>
    <row r="27" spans="1:13" ht="30" x14ac:dyDescent="0.25">
      <c r="A27" s="145" t="s">
        <v>96</v>
      </c>
      <c r="B27" s="7"/>
      <c r="C27" s="6">
        <f>SLN(B28,0,8)</f>
        <v>22612500</v>
      </c>
      <c r="D27" s="6">
        <f t="shared" ref="D27:J27" si="6">SLN($B$12,0,8)+C27</f>
        <v>22612500</v>
      </c>
      <c r="E27" s="6">
        <f t="shared" si="6"/>
        <v>22612500</v>
      </c>
      <c r="F27" s="6">
        <f t="shared" si="6"/>
        <v>22612500</v>
      </c>
      <c r="G27" s="6">
        <f t="shared" si="6"/>
        <v>22612500</v>
      </c>
      <c r="H27" s="6">
        <f t="shared" si="6"/>
        <v>22612500</v>
      </c>
      <c r="I27" s="6">
        <f t="shared" si="6"/>
        <v>22612500</v>
      </c>
      <c r="J27" s="6">
        <f t="shared" si="6"/>
        <v>22612500</v>
      </c>
      <c r="K27" s="6"/>
      <c r="L27" s="6"/>
    </row>
    <row r="28" spans="1:13" ht="15.75" x14ac:dyDescent="0.25">
      <c r="A28" s="38" t="s">
        <v>84</v>
      </c>
      <c r="B28" s="37">
        <v>180900000</v>
      </c>
      <c r="C28" s="7"/>
      <c r="D28" s="7"/>
      <c r="E28" s="7"/>
      <c r="F28" s="7"/>
    </row>
    <row r="29" spans="1:13" ht="15.75" thickBot="1" x14ac:dyDescent="0.3">
      <c r="A29" t="s">
        <v>86</v>
      </c>
      <c r="B29" s="2">
        <v>0.09</v>
      </c>
      <c r="C29" s="2">
        <v>0.12</v>
      </c>
      <c r="D29" s="2">
        <v>0.16</v>
      </c>
    </row>
    <row r="30" spans="1:13" x14ac:dyDescent="0.25">
      <c r="A30" s="211" t="s">
        <v>87</v>
      </c>
      <c r="B30" s="212">
        <f>NPV(B29,$C$26:$F$26)+$B$26</f>
        <v>-99209398.651575148</v>
      </c>
      <c r="C30" s="212">
        <f>NPV(C29,$C$26:$F$26)+$B$26</f>
        <v>-95624583.353218034</v>
      </c>
      <c r="D30" s="213">
        <f>NPV(D29,$C$26:$F$26)+$B$26</f>
        <v>-91350897.058202118</v>
      </c>
    </row>
    <row r="31" spans="1:13" ht="16.5" thickBot="1" x14ac:dyDescent="0.3">
      <c r="A31" s="214" t="s">
        <v>2</v>
      </c>
      <c r="B31" s="215"/>
      <c r="C31" s="216" t="e">
        <f>IRR(B26:F26)</f>
        <v>#NUM!</v>
      </c>
      <c r="D31" s="217"/>
    </row>
  </sheetData>
  <pageMargins left="0.7" right="0.7" top="0.75" bottom="0.75" header="0.3" footer="0.3"/>
  <pageSetup orientation="portrait" horizontalDpi="300" verticalDpi="300" r:id="rId1"/>
  <ignoredErrors>
    <ignoredError sqref="C15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B19 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SALARIO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2013-11-06T19:37:41Z</dcterms:modified>
</cp:coreProperties>
</file>